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l8hk7b09iFCZHYookKWyv28F/cUYMdZAlECO4IVo+XhjBW9JVVlrjTy8tUvx21A4YJt+N0Kvj+7CchyZ5G/gWg==" workbookSaltValue="kPVGJxUTdjbP07EPOM83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AL16" i="11"/>
  <c r="C16" i="6"/>
  <c r="S19" i="8"/>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G19" i="7"/>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<sst xmlns="http://schemas.openxmlformats.org/spreadsheetml/2006/main" count="2102" uniqueCount="918">
  <si>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</si>
  <si>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</si>
  <si>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</si>
  <si>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</si>
  <si>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</si>
  <si>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</si>
  <si>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</si>
  <si>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</si>
  <si>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</si>
  <si>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</si>
  <si>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</si>
  <si>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</si>
  <si>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</si>
  <si>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</si>
  <si>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</si>
  <si>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</si>
  <si>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</si>
  <si>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</si>
  <si>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</si>
  <si>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</si>
  <si>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</si>
  <si>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</si>
  <si>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</si>
  <si>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</si>
  <si>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</si>
  <si>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</si>
  <si>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</si>
  <si>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</si>
  <si>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</si>
  <si>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</si>
  <si>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</si>
  <si>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</si>
  <si>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</si>
  <si>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</si>
  <si>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</si>
  <si>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</si>
  <si>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</si>
  <si>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</si>
  <si>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</si>
  <si>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</si>
  <si>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</si>
  <si>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</si>
  <si>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</si>
  <si>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</si>
  <si>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</si>
  <si>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</si>
  <si>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</si>
  <si>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</si>
  <si>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</si>
  <si>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</si>
  <si>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</si>
  <si>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</si>
  <si>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</si>
  <si>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</si>
  <si>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</si>
  <si>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</si>
  <si>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</si>
  <si>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</si>
  <si>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</si>
  <si>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</si>
  <si>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</si>
  <si>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</si>
  <si>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</si>
  <si>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</si>
  <si>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</si>
  <si>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</si>
  <si>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</si>
  <si>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</si>
  <si>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</si>
  <si>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</si>
  <si>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</si>
  <si>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</si>
  <si>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</si>
  <si>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</si>
  <si>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</si>
  <si>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</si>
  <si>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</si>
  <si>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</si>
  <si>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</si>
  <si>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</si>
  <si>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</si>
  <si>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</si>
  <si>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</si>
  <si>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</si>
  <si>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</si>
  <si>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</si>
  <si>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</si>
  <si>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</si>
  <si>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</si>
  <si>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</si>
  <si>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</si>
  <si>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</si>
  <si>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</si>
  <si>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</si>
  <si>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</si>
  <si>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</si>
  <si>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</si>
  <si>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</si>
  <si>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</si>
  <si>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</si>
  <si>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</si>
  <si>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</si>
  <si>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</si>
  <si>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</si>
  <si>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</si>
  <si>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</si>
  <si>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</si>
  <si>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</si>
  <si>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</si>
  <si>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</si>
  <si>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</si>
  <si>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</si>
  <si>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</si>
  <si>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</si>
  <si>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</si>
  <si>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</si>
  <si>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</si>
  <si>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</si>
  <si>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</si>
  <si>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</si>
  <si>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</si>
  <si>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</si>
  <si>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</si>
  <si>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</si>
  <si>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</si>
  <si>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</si>
  <si>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</si>
  <si>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</si>
  <si>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</si>
  <si>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</si>
  <si>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</si>
  <si>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</si>
  <si>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</si>
  <si>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</si>
  <si>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</si>
  <si>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</si>
  <si>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</si>
  <si>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</si>
  <si>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</si>
  <si>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</si>
  <si>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</si>
  <si>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</si>
  <si>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</si>
  <si>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</si>
  <si>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</si>
  <si>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</si>
  <si>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</si>
  <si>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</si>
  <si>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</si>
  <si>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</si>
  <si>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</si>
  <si>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</si>
  <si>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</si>
  <si>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</si>
  <si>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</si>
  <si>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</si>
  <si>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</si>
  <si>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</si>
  <si>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</si>
  <si>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</si>
  <si>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</si>
  <si>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</si>
  <si>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</si>
  <si>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</si>
  <si>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</si>
  <si>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</si>
  <si>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</si>
  <si>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</si>
  <si>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</si>
  <si>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</si>
  <si>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</si>
  <si>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</si>
  <si>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</si>
  <si>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</si>
  <si>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</si>
  <si>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</si>
  <si>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</si>
  <si>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</si>
  <si>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</si>
  <si>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</si>
  <si>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</si>
  <si>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</si>
  <si>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</si>
  <si>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</si>
  <si>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</si>
  <si>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</si>
  <si>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</si>
  <si>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</si>
  <si>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</si>
  <si>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</si>
  <si>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</si>
  <si>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</si>
  <si>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</si>
  <si>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</si>
  <si>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</si>
  <si>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</si>
  <si>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</si>
  <si>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</si>
  <si>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</si>
  <si>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</si>
  <si>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</si>
  <si>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</si>
  <si>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</si>
  <si>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</si>
  <si>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</si>
  <si>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</si>
  <si>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</si>
  <si>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</si>
  <si>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</si>
  <si>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</si>
  <si>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</si>
  <si>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</si>
  <si>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</si>
  <si>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</si>
  <si>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</si>
  <si>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</si>
  <si>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</si>
  <si>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</si>
  <si>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</si>
  <si>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</si>
  <si>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</si>
  <si>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</si>
  <si>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</si>
  <si>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</si>
  <si>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</si>
  <si>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</si>
  <si>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</si>
  <si>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</si>
  <si>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</si>
  <si>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</si>
  <si>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</si>
  <si>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</si>
  <si>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</si>
  <si>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</si>
  <si>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</si>
  <si>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</si>
  <si>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</si>
  <si>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</si>
  <si>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</si>
  <si>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</si>
  <si>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</si>
  <si>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</si>
  <si>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</si>
  <si>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</si>
  <si>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</si>
  <si>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</si>
  <si>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</si>
  <si>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</si>
  <si>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</si>
  <si>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</si>
  <si>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</si>
  <si>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</si>
  <si>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</si>
  <si>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</si>
  <si>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</si>
  <si>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</si>
  <si>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</si>
  <si>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</si>
  <si>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</si>
  <si>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</si>
  <si>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</si>
  <si>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</si>
  <si>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</si>
  <si>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</si>
  <si>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</si>
  <si>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</si>
  <si>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</si>
  <si>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</si>
  <si>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</si>
  <si>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</si>
  <si>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</si>
  <si>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</si>
  <si>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</si>
  <si>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</si>
  <si>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</si>
  <si>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</si>
  <si>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</si>
  <si>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</si>
  <si>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</si>
  <si>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</si>
  <si>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</si>
  <si>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</si>
  <si>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</si>
  <si>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</si>
  <si>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</si>
  <si>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</si>
  <si>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</si>
  <si>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</si>
  <si>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</si>
  <si>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</si>
  <si>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</si>
  <si>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</si>
  <si>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</si>
  <si>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</si>
  <si>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</si>
  <si>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</si>
  <si>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</si>
  <si>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</si>
  <si>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</si>
  <si>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</si>
  <si>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</si>
  <si>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</si>
  <si>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</si>
  <si>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</si>
  <si>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</si>
  <si>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</si>
  <si>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</si>
  <si>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</si>
  <si>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</si>
  <si>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</si>
  <si>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</si>
  <si>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</si>
  <si>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</si>
  <si>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</si>
  <si>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</si>
  <si>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</si>
  <si>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</si>
  <si>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</si>
  <si>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</si>
  <si>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</si>
  <si>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</si>
  <si>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</si>
  <si>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</si>
  <si>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</si>
  <si>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</si>
  <si>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</si>
  <si>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</si>
  <si>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</si>
  <si>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</si>
  <si>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</si>
  <si>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</si>
  <si>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</si>
  <si>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</si>
  <si>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</si>
  <si>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</si>
  <si>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</si>
  <si>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</si>
  <si>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</si>
  <si>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</si>
  <si>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</si>
  <si>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</si>
  <si>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</si>
  <si>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</si>
  <si>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</si>
  <si>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</si>
  <si>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</si>
  <si>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</si>
  <si>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</si>
  <si>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</si>
  <si>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</si>
  <si>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</si>
  <si>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</si>
  <si>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</si>
  <si>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</si>
  <si>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</si>
  <si>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</si>
  <si>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</si>
  <si>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</si>
  <si>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</si>
  <si>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</si>
  <si>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</si>
  <si>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</si>
  <si>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</si>
  <si>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</si>
  <si>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</si>
  <si>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</si>
  <si>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</si>
  <si>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</si>
  <si>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</si>
  <si>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</si>
  <si>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</si>
  <si>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</si>
  <si>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</si>
  <si>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</si>
  <si>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</si>
  <si>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</si>
  <si>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</si>
  <si>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</si>
  <si>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</si>
  <si>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</si>
  <si>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</si>
  <si>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</si>
  <si>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</si>
  <si>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</si>
  <si>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</si>
  <si>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</si>
  <si>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</si>
  <si>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</si>
  <si>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</si>
  <si>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</si>
  <si>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</si>
  <si>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</si>
  <si>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</si>
  <si>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</si>
  <si>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</si>
  <si>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</si>
  <si>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</si>
  <si>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</si>
  <si>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</si>
  <si>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</si>
  <si>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</si>
  <si>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</si>
  <si>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</si>
  <si>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</si>
  <si>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</si>
  <si>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</si>
  <si>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</si>
  <si>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</si>
  <si>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</si>
  <si>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</si>
  <si>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</si>
  <si>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</si>
  <si>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</si>
  <si>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</si>
  <si>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</si>
  <si>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</si>
  <si>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</si>
  <si>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</si>
  <si>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</si>
  <si>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</si>
  <si>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</si>
  <si>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</si>
  <si>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</si>
  <si>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</si>
  <si>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</si>
  <si>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</si>
  <si>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</si>
  <si>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</si>
  <si>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</si>
  <si>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</si>
  <si>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</si>
  <si>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</si>
  <si>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</si>
  <si>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</si>
  <si>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</si>
  <si>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</si>
  <si>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</si>
  <si>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</si>
  <si>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</si>
  <si>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</si>
  <si>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</si>
  <si>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</si>
  <si>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</si>
  <si>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</si>
  <si>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</si>
  <si>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</si>
  <si>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</si>
  <si>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</si>
  <si>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</si>
  <si>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</si>
  <si>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</si>
  <si>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</si>
  <si>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</si>
  <si>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</si>
  <si>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</si>
  <si>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</si>
  <si>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</si>
  <si>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</si>
  <si>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</si>
  <si>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</si>
  <si>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</si>
  <si>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</si>
  <si>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</si>
  <si>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</si>
  <si>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</si>
  <si>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</si>
  <si>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</si>
  <si>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</si>
  <si>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</si>
  <si>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</si>
  <si>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</si>
  <si>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</si>
  <si>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</si>
  <si>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</si>
  <si>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</si>
  <si>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</si>
  <si>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</si>
  <si>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</si>
  <si>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</si>
  <si>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</si>
  <si>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</si>
  <si>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</si>
  <si>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</si>
  <si>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</si>
  <si>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</si>
  <si>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</si>
  <si>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</si>
  <si>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</si>
  <si>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</si>
  <si>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</si>
  <si>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</si>
  <si>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</si>
  <si>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</si>
  <si>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</si>
  <si>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</si>
  <si>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</si>
  <si>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</si>
  <si>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</si>
  <si>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</si>
  <si>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</si>
  <si>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</si>
  <si>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</si>
  <si>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</si>
  <si>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</si>
  <si>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</si>
  <si>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</si>
  <si>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</si>
  <si>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</si>
  <si>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</si>
  <si>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</si>
  <si>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</si>
  <si>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</si>
  <si>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</si>
  <si>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</si>
  <si>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</si>
  <si>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</si>
  <si>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</si>
  <si>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</si>
  <si>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</si>
  <si>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</si>
  <si>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</si>
  <si>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</si>
  <si>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</si>
  <si>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</si>
  <si>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</si>
  <si>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</si>
  <si>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</si>
  <si>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</si>
  <si>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</si>
  <si>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</si>
  <si>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</si>
  <si>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</si>
  <si>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</si>
  <si>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</si>
  <si>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</si>
  <si>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</si>
  <si>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</si>
  <si>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</si>
  <si>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</si>
  <si>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</si>
  <si>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</si>
  <si>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</si>
  <si>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</si>
  <si>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</si>
  <si>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</si>
  <si>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</si>
  <si>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</si>
  <si>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</si>
  <si>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</si>
  <si>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</si>
  <si>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</si>
  <si>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</si>
  <si>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</si>
  <si>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</si>
  <si>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</si>
  <si>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</si>
  <si>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</si>
  <si>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</si>
  <si>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</si>
  <si>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</si>
  <si>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</si>
  <si>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</si>
  <si>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</si>
  <si>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</si>
  <si>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</si>
  <si>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</si>
  <si>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</si>
  <si>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</si>
  <si>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</si>
  <si>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</si>
  <si>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</si>
  <si>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</si>
  <si>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</si>
  <si>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</si>
  <si>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</si>
  <si>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</si>
  <si>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</si>
  <si>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</si>
  <si>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</si>
  <si>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</si>
  <si>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</si>
  <si>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</si>
  <si>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</si>
  <si>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</si>
  <si>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</si>
  <si>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</si>
  <si>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</si>
  <si>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</si>
  <si>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</si>
  <si>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</si>
  <si>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</si>
  <si>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</si>
  <si>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</si>
  <si>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</si>
  <si>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</si>
  <si>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</si>
  <si>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</si>
  <si>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</si>
  <si>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</si>
  <si>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</si>
  <si>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</si>
  <si>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</si>
  <si>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</si>
  <si>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</si>
  <si>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</si>
  <si>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</si>
  <si>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</si>
  <si>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</si>
  <si>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</si>
  <si>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</si>
  <si>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</si>
  <si>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</si>
  <si>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</si>
  <si>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</si>
  <si>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</si>
  <si>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</si>
  <si>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</si>
  <si>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</si>
  <si>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</si>
  <si>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</si>
  <si>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</si>
  <si>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</si>
  <si>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</si>
  <si>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</si>
  <si>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</si>
  <si>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</si>
  <si>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</si>
  <si>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</si>
  <si>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</si>
  <si>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</si>
  <si>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</si>
  <si>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</si>
  <si>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</si>
  <si>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</si>
  <si>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</si>
  <si>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</si>
  <si>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</si>
  <si>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</si>
  <si>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</si>
  <si>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</si>
  <si>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</si>
  <si>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</si>
  <si>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</si>
  <si>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</si>
  <si>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</si>
  <si>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</si>
  <si>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</si>
  <si>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</si>
  <si>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</si>
  <si>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</si>
  <si>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</si>
  <si>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</si>
  <si>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</si>
  <si>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</si>
  <si>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</si>
  <si>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</si>
  <si>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</si>
  <si>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</si>
  <si>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</si>
  <si>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</si>
  <si>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</si>
  <si>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</si>
  <si>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</si>
  <si>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</si>
  <si>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</si>
  <si>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</si>
  <si>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</si>
  <si>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</si>
  <si>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</si>
  <si>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</si>
  <si>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</si>
  <si>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</si>
  <si>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</si>
  <si>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</si>
  <si>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</si>
  <si>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</si>
  <si>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</si>
  <si>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</si>
  <si>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</si>
  <si>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</si>
  <si>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</si>
  <si>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</si>
  <si>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</si>
  <si>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</si>
  <si>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</si>
  <si>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</si>
  <si>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</si>
  <si>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</si>
  <si>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</si>
  <si>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</si>
  <si>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</si>
  <si>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</si>
  <si>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</si>
  <si>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</si>
  <si>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</si>
  <si>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</si>
  <si>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</si>
  <si>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</si>
  <si>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</si>
  <si>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</si>
  <si>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</si>
  <si>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</si>
  <si>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</si>
  <si>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</si>
  <si>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</si>
  <si>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</si>
  <si>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</si>
  <si>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</si>
  <si>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</si>
  <si>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</si>
  <si>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</si>
  <si>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</si>
  <si>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</si>
  <si>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</si>
  <si>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</si>
  <si>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</si>
  <si>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</si>
  <si>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</si>
  <si>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</si>
  <si>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</si>
  <si>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</si>
  <si>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</si>
  <si>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</si>
  <si>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</si>
  <si>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</si>
  <si>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</si>
  <si>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</si>
  <si>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</si>
  <si>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</si>
  <si>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</si>
  <si>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</si>
  <si>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</si>
  <si>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</si>
  <si>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</si>
  <si>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</si>
  <si>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</si>
  <si>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</si>
  <si>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</si>
  <si>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</si>
  <si>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</si>
  <si>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</si>
  <si>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</si>
  <si>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</si>
  <si>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</si>
  <si>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</si>
  <si>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</si>
  <si>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</si>
  <si>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</si>
  <si>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</si>
  <si>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</si>
  <si>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</si>
  <si>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</si>
  <si>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</si>
  <si>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</si>
  <si>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</si>
  <si>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</si>
  <si>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</si>
  <si>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</si>
  <si>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</si>
  <si>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</si>
  <si>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</si>
  <si>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</si>
  <si>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</si>
  <si>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</si>
  <si>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</si>
  <si>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</si>
  <si>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</si>
  <si>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</si>
  <si>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</si>
  <si>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</si>
  <si>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</si>
  <si>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</si>
  <si>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</si>
  <si>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</si>
  <si>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</si>
  <si>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</si>
  <si>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</si>
  <si>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</si>
  <si>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</si>
  <si>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</si>
  <si>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</si>
  <si>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</si>
  <si>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</si>
  <si>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</si>
  <si>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</si>
  <si>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</si>
  <si>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</si>
  <si>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</si>
  <si>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</si>
  <si>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</si>
  <si>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</si>
  <si>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</si>
  <si>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</si>
  <si>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</si>
  <si>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</si>
  <si>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</si>
  <si>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</si>
  <si>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</si>
  <si>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</si>
  <si>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</si>
  <si>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</si>
  <si>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</si>
  <si>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</si>
  <si>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</si>
  <si>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</si>
  <si>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</si>
  <si>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</si>
  <si>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</si>
  <si>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</si>
  <si>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</si>
  <si>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</si>
  <si>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</si>
  <si>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</si>
  <si>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</si>
  <si>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</si>
  <si>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</si>
  <si>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</si>
  <si>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</si>
  <si>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</si>
  <si>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</si>
  <si>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</si>
  <si>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</si>
  <si>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</si>
  <si>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</si>
  <si>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</si>
  <si>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</si>
  <si>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</si>
  <si>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</si>
  <si>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</si>
  <si>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</si>
  <si>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</si>
  <si>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</si>
  <si>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</si>
  <si>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</si>
  <si>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</si>
  <si>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</si>
  <si>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</si>
  <si>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</si>
  <si>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</si>
  <si>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</si>
  <si>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</si>
  <si>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</si>
  <si>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</si>
  <si>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</si>
  <si>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</si>
  <si>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</si>
  <si>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</si>
  <si>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</si>
  <si>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</si>
  <si>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</si>
  <si>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</si>
  <si>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</si>
  <si>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</si>
  <si>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</si>
  <si>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</si>
  <si>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</si>
  <si>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</si>
  <si>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</si>
  <si>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</si>
  <si>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</si>
  <si>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</si>
  <si>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</si>
  <si>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</si>
  <si>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</si>
  <si>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</si>
  <si>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</si>
  <si>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</si>
  <si>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</si>
  <si>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</si>
  <si>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</si>
  <si>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</si>
  <si>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</si>
  <si>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</si>
  <si>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</si>
  <si>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</si>
  <si>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</si>
  <si>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</si>
  <si>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</si>
  <si>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</si>
  <si>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</si>
  <si>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</si>
  <si>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</si>
  <si>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</si>
  <si>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</si>
  <si>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</si>
  <si>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</si>
  <si>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</si>
  <si>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</si>
  <si>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</si>
  <si>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</si>
  <si>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</si>
  <si>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</si>
  <si>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</si>
  <si>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</si>
  <si>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</si>
  <si>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</si>
  <si>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</si>
  <si>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</si>
  <si>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</si>
  <si>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</si>
  <si>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</si>
  <si>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</si>
  <si>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</si>
  <si>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</si>
  <si>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</si>
  <si>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</si>
  <si>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</si>
  <si>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</si>
  <si>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</si>
  <si>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</si>
  <si>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</si>
  <si>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</si>
  <si>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</si>
  <si>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</si>
  <si>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</si>
  <si>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</si>
  <si>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</si>
  <si>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CORCUBION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</si>
</sst>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313z0SU+Xt5E758Tzy6UZtn9XPRiTWyD260nRCzfm744wcDk6KUbd82hYnj1qjC3DDmWfPlJtV+kgSn4u4Q==" saltValue="raknBQuqOtc8A16AJY2F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14</v>
      </c>
      <c r="F10" s="226">
        <f>IF(ISNUMBER(Datos!K10),Datos!K10," - ")</f>
        <v>7</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0.4375</v>
      </c>
      <c r="L10" s="1025">
        <f>IF(ISNUMBER(NºAsuntos!I10/NºAsuntos!G10),(NºAsuntos!I10/NºAsuntos!G10)*11," - ")</f>
        <v>36.142857142857139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15.233709817549958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14</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639</v>
      </c>
      <c r="D16" s="225">
        <f>IF(ISNUMBER(IF(D_I="SI",Datos!I16,Datos!I16+Datos!AC16)),IF(D_I="SI",Datos!I16,Datos!I16+Datos!AC16)," - ")</f>
        <v>639</v>
      </c>
      <c r="E16" s="226">
        <f>IF(ISNUMBER(IF(D_I="SI",Datos!J16,Datos!J16+Datos!AD16)),IF(D_I="SI",Datos!J16,Datos!J16+Datos!AD16)," - ")</f>
        <v>994</v>
      </c>
      <c r="F16" s="226">
        <f>IF(ISNUMBER(IF(D_I="SI",Datos!K16,Datos!K16+Datos!AE16)),IF(D_I="SI",Datos!K16,Datos!K16+Datos!AE16)," - ")</f>
        <v>844</v>
      </c>
      <c r="G16" s="1034" t="str">
        <f>IF(Datos!E16&lt;&gt;"",Datos!E16,Datos!D16)</f>
        <v>04</v>
      </c>
      <c r="H16" s="227">
        <f>IF(ISNUMBER(IF(D_I="SI",Datos!L16,Datos!L16+Datos!AF16)),IF(D_I="SI",Datos!L16,Datos!L16+Datos!AF16)," - ")</f>
        <v>789</v>
      </c>
      <c r="I16" s="1044" t="str">
        <f>IF(ISNUMBER(Datos!AS16/Datos!BM16),Datos!AS16/Datos!BM16," - ")</f>
        <v xml:space="preserve"> - </v>
      </c>
      <c r="J16" s="1045">
        <f>IF(ISNUMBER(Datos!BY16/Datos!CN16),Datos!BY16/Datos!CN16," - ")</f>
        <v>0</v>
      </c>
      <c r="K16" s="230">
        <f t="shared" si="3"/>
        <v>0.23474178403755869</v>
      </c>
      <c r="L16" s="1025">
        <f>IF(ISNUMBER(NºAsuntos!I16/NºAsuntos!G16),(NºAsuntos!I16/NºAsuntos!G16)*11," - ")</f>
        <v>10.283175355450236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52</v>
      </c>
      <c r="F17" s="226">
        <f>IF(ISNUMBER(IF(D_I="SI",Datos!K17,Datos!K17+Datos!AE17)),IF(D_I="SI",Datos!K17,Datos!K17+Datos!AE17)," - ")</f>
        <v>50</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2.8571428571428571E-2</v>
      </c>
      <c r="L17" s="1025">
        <f>IF(ISNUMBER(NºAsuntos!I17/NºAsuntos!G17),(NºAsuntos!I17/NºAsuntos!G17)*11," - ")</f>
        <v>15.84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709</v>
      </c>
      <c r="D18" s="1049">
        <f>SUBTOTAL(9,D15:D17)</f>
        <v>709</v>
      </c>
      <c r="E18" s="1050">
        <f>SUBTOTAL(9,E15:E17)</f>
        <v>1046</v>
      </c>
      <c r="F18" s="1050">
        <f>SUBTOTAL(9,F15:F17)</f>
        <v>894</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725</v>
      </c>
      <c r="D19" s="1071">
        <f>SUBTOTAL(9,D9:D18)</f>
        <v>725</v>
      </c>
      <c r="E19" s="1072">
        <f>SUBTOTAL(9,E9:E18)</f>
        <v>1060</v>
      </c>
      <c r="F19" s="1072">
        <f>SUBTOTAL(9,F9:F18)</f>
        <v>901</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OImdJsGmjVvlg+4xwQsu88TeZZdyPtyQSn7KeY6SHiMgUfvjdUqN4NQIjs7AKcVzwkk7IiCUUNcNw570zSQ7g==" saltValue="k2coBfDckwEWWRb+vKQh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DRp9H65KYs6XoqQU5i8WEr0HdTHC1oyaSQbJdI5IzZ84VzZN6XtNoTma53wUgLuOwWbFNfeSOqb5BIeOjKgeg==" saltValue="ymOIeCyX8tTeTAF+7WNE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14</v>
      </c>
      <c r="K10" s="181">
        <v>7</v>
      </c>
      <c r="L10" s="181">
        <v>23</v>
      </c>
      <c r="M10" s="181">
        <v>5</v>
      </c>
      <c r="N10" s="181">
        <v>0</v>
      </c>
      <c r="O10" s="181">
        <v>0</v>
      </c>
      <c r="P10" s="181">
        <v>1</v>
      </c>
      <c r="Q10" s="181">
        <v>0</v>
      </c>
      <c r="R10" s="181">
        <v>1</v>
      </c>
      <c r="S10" s="181">
        <v>9</v>
      </c>
      <c r="T10" s="181">
        <v>15</v>
      </c>
      <c r="U10" s="181">
        <v>8</v>
      </c>
      <c r="V10" s="181">
        <v>16</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15</v>
      </c>
      <c r="BA10" s="129">
        <f t="shared" si="0"/>
        <v>8</v>
      </c>
      <c r="BB10" s="129">
        <f t="shared" si="0"/>
        <v>16</v>
      </c>
      <c r="BC10" s="125">
        <f t="shared" si="0"/>
        <v>7</v>
      </c>
      <c r="BD10" s="126">
        <f>IF(ISNUMBER(BA10/AZ10),BA10/AZ10," - ")</f>
        <v>0.53333333333333333</v>
      </c>
      <c r="BE10" s="127">
        <f>IF(ISNUMBER(BB10/BA10),BB10/BA10, " - ")</f>
        <v>2</v>
      </c>
      <c r="BF10" s="127">
        <f>IF(ISNUMBER(BC10/BA10),BC10/BA10, " - ")</f>
        <v>0.875</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1371</v>
      </c>
      <c r="J12" s="183">
        <v>1247</v>
      </c>
      <c r="K12" s="183">
        <v>1070</v>
      </c>
      <c r="L12" s="183">
        <v>1548</v>
      </c>
      <c r="M12" s="183">
        <v>291</v>
      </c>
      <c r="N12" s="183">
        <v>495</v>
      </c>
      <c r="O12" s="181">
        <v>487</v>
      </c>
      <c r="P12" s="183">
        <v>222</v>
      </c>
      <c r="Q12" s="183">
        <v>116</v>
      </c>
      <c r="R12" s="183">
        <v>734</v>
      </c>
      <c r="S12" s="183">
        <v>910</v>
      </c>
      <c r="T12" s="183">
        <v>1104</v>
      </c>
      <c r="U12" s="183">
        <v>643</v>
      </c>
      <c r="V12" s="183">
        <v>1371</v>
      </c>
      <c r="W12" s="183">
        <v>227</v>
      </c>
      <c r="X12" s="189">
        <v>255</v>
      </c>
      <c r="Y12" s="191">
        <v>43</v>
      </c>
      <c r="Z12" s="181">
        <v>84</v>
      </c>
      <c r="AA12" s="181">
        <v>81</v>
      </c>
      <c r="AB12" s="181">
        <v>46</v>
      </c>
      <c r="AC12" s="183">
        <v>0</v>
      </c>
      <c r="AD12" s="183">
        <v>0</v>
      </c>
      <c r="AE12" s="183">
        <v>0</v>
      </c>
      <c r="AF12" s="189">
        <v>0</v>
      </c>
      <c r="AG12" s="202">
        <v>46</v>
      </c>
      <c r="AH12" s="183">
        <v>112</v>
      </c>
      <c r="AI12" s="183">
        <v>115</v>
      </c>
      <c r="AJ12" s="203">
        <v>43</v>
      </c>
      <c r="AK12" s="182">
        <v>0</v>
      </c>
      <c r="AL12" s="183">
        <v>0</v>
      </c>
      <c r="AM12" s="183">
        <v>0</v>
      </c>
      <c r="AN12" s="189">
        <v>0</v>
      </c>
      <c r="AO12" s="259">
        <v>2</v>
      </c>
      <c r="AP12" s="155">
        <v>2</v>
      </c>
      <c r="AQ12" s="155">
        <v>2</v>
      </c>
      <c r="AR12" s="154">
        <v>2</v>
      </c>
      <c r="AS12" s="340" t="s">
        <v>802</v>
      </c>
      <c r="AT12" s="203"/>
      <c r="AU12" s="202"/>
      <c r="AV12" s="203"/>
      <c r="AW12" s="202"/>
      <c r="AX12" s="203"/>
      <c r="AY12" s="126">
        <f t="shared" si="1"/>
        <v>956</v>
      </c>
      <c r="AZ12" s="127">
        <f t="shared" si="1"/>
        <v>1216</v>
      </c>
      <c r="BA12" s="127">
        <f t="shared" si="1"/>
        <v>758</v>
      </c>
      <c r="BB12" s="127">
        <f t="shared" si="1"/>
        <v>1414</v>
      </c>
      <c r="BC12" s="125">
        <f>IF(ISNUMBER(X12),X12," - ")</f>
        <v>255</v>
      </c>
      <c r="BD12" s="126">
        <f t="shared" si="2"/>
        <v>0.62335526315789469</v>
      </c>
      <c r="BE12" s="127">
        <f t="shared" si="3"/>
        <v>1.8654353562005277</v>
      </c>
      <c r="BF12" s="127">
        <f t="shared" si="4"/>
        <v>0.33641160949868076</v>
      </c>
      <c r="BG12" s="196">
        <f t="shared" si="5"/>
        <v>2.8654353562005279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1387</v>
      </c>
      <c r="J13" s="184">
        <f t="shared" si="6"/>
        <v>1261</v>
      </c>
      <c r="K13" s="184">
        <f t="shared" si="6"/>
        <v>1077</v>
      </c>
      <c r="L13" s="184">
        <f t="shared" si="6"/>
        <v>1571</v>
      </c>
      <c r="M13" s="184">
        <f t="shared" si="6"/>
        <v>296</v>
      </c>
      <c r="N13" s="184">
        <f t="shared" si="6"/>
        <v>495</v>
      </c>
      <c r="O13" s="184">
        <f t="shared" si="6"/>
        <v>487</v>
      </c>
      <c r="P13" s="184">
        <f t="shared" si="6"/>
        <v>223</v>
      </c>
      <c r="Q13" s="184">
        <f t="shared" si="6"/>
        <v>116</v>
      </c>
      <c r="R13" s="184">
        <f t="shared" si="6"/>
        <v>735</v>
      </c>
      <c r="S13" s="184">
        <f t="shared" si="6"/>
        <v>919</v>
      </c>
      <c r="T13" s="184">
        <f t="shared" si="6"/>
        <v>1119</v>
      </c>
      <c r="U13" s="184">
        <f t="shared" si="6"/>
        <v>651</v>
      </c>
      <c r="V13" s="184">
        <f t="shared" si="6"/>
        <v>1387</v>
      </c>
      <c r="W13" s="184">
        <f t="shared" si="6"/>
        <v>234</v>
      </c>
      <c r="X13" s="184">
        <f t="shared" si="6"/>
        <v>255</v>
      </c>
      <c r="Y13" s="184">
        <f t="shared" si="6"/>
        <v>43</v>
      </c>
      <c r="Z13" s="184">
        <f t="shared" si="6"/>
        <v>84</v>
      </c>
      <c r="AA13" s="184">
        <f t="shared" si="6"/>
        <v>81</v>
      </c>
      <c r="AB13" s="184">
        <f t="shared" si="6"/>
        <v>46</v>
      </c>
      <c r="AC13" s="184">
        <f t="shared" si="6"/>
        <v>0</v>
      </c>
      <c r="AD13" s="184">
        <f t="shared" si="6"/>
        <v>0</v>
      </c>
      <c r="AE13" s="184">
        <f t="shared" si="6"/>
        <v>0</v>
      </c>
      <c r="AF13" s="184">
        <f>SUBTOTAL(9,AF9:AF12)</f>
        <v>0</v>
      </c>
      <c r="AG13" s="184">
        <f t="shared" ref="AG13:AT13" si="7">SUBTOTAL(9,AG8:AG12)</f>
        <v>46</v>
      </c>
      <c r="AH13" s="184">
        <f t="shared" si="7"/>
        <v>112</v>
      </c>
      <c r="AI13" s="184">
        <f t="shared" si="7"/>
        <v>115</v>
      </c>
      <c r="AJ13" s="184">
        <f t="shared" si="7"/>
        <v>43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965</v>
      </c>
      <c r="AZ13" s="184">
        <f>SUBTOTAL(9,AZ8:AZ12)</f>
        <v>1231</v>
      </c>
      <c r="BA13" s="184">
        <f>SUBTOTAL(9,BA8:BA12)</f>
        <v>766</v>
      </c>
      <c r="BB13" s="184">
        <f>SUBTOTAL(9,BB8:BB12)</f>
        <v>1430</v>
      </c>
      <c r="BC13" s="184">
        <f>SUBTOTAL(9,BC8:BC12)</f>
        <v>262</v>
      </c>
      <c r="BD13" s="205">
        <f>IF(ISNUMBER(BA13/AZ13),BA13/AZ13," - ")</f>
        <v>0.62225832656376934</v>
      </c>
      <c r="BE13" s="206">
        <f>IF(ISNUMBER(BB13/BA13),BB13/BA13, " - ")</f>
        <v>1.866840731070496</v>
      </c>
      <c r="BF13" s="206">
        <f>IF(ISNUMBER(BC13/BA13),BC13/BA13, " - ")</f>
        <v>0.34203655352480417</v>
      </c>
      <c r="BG13" s="207">
        <f>IF(ISNUMBER((AY13+AZ13)/BA13),(AY13+AZ13)/BA13," - ")</f>
        <v>2.866840731070496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639</v>
      </c>
      <c r="J16" s="183">
        <v>994</v>
      </c>
      <c r="K16" s="183">
        <v>844</v>
      </c>
      <c r="L16" s="183">
        <v>789</v>
      </c>
      <c r="M16" s="183">
        <v>213</v>
      </c>
      <c r="N16" s="183">
        <v>504</v>
      </c>
      <c r="O16" s="181">
        <v>12</v>
      </c>
      <c r="P16" s="183">
        <v>28</v>
      </c>
      <c r="Q16" s="183">
        <v>20</v>
      </c>
      <c r="R16" s="183">
        <v>72</v>
      </c>
      <c r="S16" s="183">
        <v>354</v>
      </c>
      <c r="T16" s="183">
        <v>1007</v>
      </c>
      <c r="U16" s="183">
        <v>722</v>
      </c>
      <c r="V16" s="183">
        <v>639</v>
      </c>
      <c r="W16" s="183">
        <v>141</v>
      </c>
      <c r="X16" s="189">
        <v>416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354</v>
      </c>
      <c r="AZ16" s="127">
        <f t="shared" si="9"/>
        <v>1007</v>
      </c>
      <c r="BA16" s="127">
        <f t="shared" si="9"/>
        <v>722</v>
      </c>
      <c r="BB16" s="127">
        <f t="shared" si="9"/>
        <v>639</v>
      </c>
      <c r="BC16" s="125">
        <f>IF(ISNUMBER(W16),W16," - ")</f>
        <v>141</v>
      </c>
      <c r="BD16" s="126">
        <f t="shared" ref="BD16" si="11">IF(ISNUMBER(BA16/AZ16),BA16/AZ16," - ")</f>
        <v>0.71698113207547165</v>
      </c>
      <c r="BE16" s="127">
        <f t="shared" ref="BE16" si="12">IF(ISNUMBER(BB16/BA16),BB16/BA16, " - ")</f>
        <v>0.88504155124653738</v>
      </c>
      <c r="BF16" s="127">
        <f t="shared" ref="BF16" si="13">IF(ISNUMBER(BC16/BA16),BC16/BA16, " - ")</f>
        <v>0.19529085872576177</v>
      </c>
      <c r="BG16" s="196">
        <f t="shared" si="10"/>
        <v>1.8850415512465375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52</v>
      </c>
      <c r="K17" s="183">
        <v>50</v>
      </c>
      <c r="L17" s="183">
        <v>72</v>
      </c>
      <c r="M17" s="183">
        <v>7</v>
      </c>
      <c r="N17" s="183">
        <v>56</v>
      </c>
      <c r="O17" s="183">
        <v>0</v>
      </c>
      <c r="P17" s="183">
        <v>1</v>
      </c>
      <c r="Q17" s="183">
        <v>0</v>
      </c>
      <c r="R17" s="183">
        <v>1</v>
      </c>
      <c r="S17" s="183">
        <v>33</v>
      </c>
      <c r="T17" s="183">
        <v>65</v>
      </c>
      <c r="U17" s="183">
        <v>28</v>
      </c>
      <c r="V17" s="183">
        <v>70</v>
      </c>
      <c r="W17" s="183">
        <v>3</v>
      </c>
      <c r="X17" s="189">
        <v>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65</v>
      </c>
      <c r="BA17" s="129">
        <f t="shared" si="14"/>
        <v>28</v>
      </c>
      <c r="BB17" s="129">
        <f t="shared" si="14"/>
        <v>70</v>
      </c>
      <c r="BC17" s="125">
        <f>IF(ISNUMBER(W17),W17," - ")</f>
        <v>3</v>
      </c>
      <c r="BD17" s="126">
        <f>IF(ISNUMBER(BA17/AZ17),BA17/AZ17," - ")</f>
        <v>0.43076923076923079</v>
      </c>
      <c r="BE17" s="127">
        <f>IF(ISNUMBER(BB17/BA17),BB17/BA17, " - ")</f>
        <v>2.5</v>
      </c>
      <c r="BF17" s="127">
        <f>IF(ISNUMBER(BC17/BA17),BC17/BA17, " - ")</f>
        <v>0.10714285714285714</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709</v>
      </c>
      <c r="J18" s="184">
        <f t="shared" si="15"/>
        <v>1046</v>
      </c>
      <c r="K18" s="184">
        <f t="shared" si="15"/>
        <v>894</v>
      </c>
      <c r="L18" s="184">
        <f t="shared" si="15"/>
        <v>861</v>
      </c>
      <c r="M18" s="184">
        <f t="shared" si="15"/>
        <v>220</v>
      </c>
      <c r="N18" s="184">
        <f t="shared" si="15"/>
        <v>560</v>
      </c>
      <c r="O18" s="184">
        <f t="shared" si="15"/>
        <v>12</v>
      </c>
      <c r="P18" s="184">
        <f t="shared" si="15"/>
        <v>29</v>
      </c>
      <c r="Q18" s="184">
        <f t="shared" si="15"/>
        <v>20</v>
      </c>
      <c r="R18" s="184">
        <f t="shared" si="15"/>
        <v>73</v>
      </c>
      <c r="S18" s="184">
        <f t="shared" si="15"/>
        <v>387</v>
      </c>
      <c r="T18" s="184">
        <f t="shared" si="15"/>
        <v>1072</v>
      </c>
      <c r="U18" s="184">
        <f t="shared" si="15"/>
        <v>750</v>
      </c>
      <c r="V18" s="184">
        <f t="shared" si="15"/>
        <v>709</v>
      </c>
      <c r="W18" s="184">
        <f t="shared" si="15"/>
        <v>144</v>
      </c>
      <c r="X18" s="184">
        <f t="shared" si="15"/>
        <v>474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387</v>
      </c>
      <c r="AZ18" s="184">
        <f>SUBTOTAL(9,AZ14:AZ17)</f>
        <v>1072</v>
      </c>
      <c r="BA18" s="184">
        <f>SUBTOTAL(9,BA14:BA17)</f>
        <v>750</v>
      </c>
      <c r="BB18" s="184">
        <f>SUBTOTAL(9,BB14:BB17)</f>
        <v>709</v>
      </c>
      <c r="BC18" s="184">
        <f>SUBTOTAL(9,BC14:BC17)</f>
        <v>144</v>
      </c>
      <c r="BD18" s="205">
        <f>IF(ISNUMBER(BA18/AZ18),BA18/AZ18," - ")</f>
        <v>0.69962686567164178</v>
      </c>
      <c r="BE18" s="206">
        <f>IF(ISNUMBER(BB18/BA18),BB18/BA18, " - ")</f>
        <v>0.94533333333333336</v>
      </c>
      <c r="BF18" s="206">
        <f>IF(ISNUMBER(BC18/BA18),BC18/BA18, " - ")</f>
        <v>0.192</v>
      </c>
      <c r="BG18" s="207">
        <f>IF(ISNUMBER((AY18+AZ18)/BA18),(AY18+AZ18)/BA18," - ")</f>
        <v>1.9453333333333334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2096</v>
      </c>
      <c r="J19" s="134">
        <f t="shared" si="18"/>
        <v>2307</v>
      </c>
      <c r="K19" s="134">
        <f t="shared" si="18"/>
        <v>1971</v>
      </c>
      <c r="L19" s="134">
        <f t="shared" si="18"/>
        <v>2432</v>
      </c>
      <c r="M19" s="134">
        <f t="shared" si="18"/>
        <v>516</v>
      </c>
      <c r="N19" s="134">
        <f t="shared" si="18"/>
        <v>1055</v>
      </c>
      <c r="O19" s="134">
        <f t="shared" si="18"/>
        <v>499</v>
      </c>
      <c r="P19" s="134">
        <f t="shared" si="18"/>
        <v>252</v>
      </c>
      <c r="Q19" s="134">
        <f t="shared" si="18"/>
        <v>136</v>
      </c>
      <c r="R19" s="134">
        <f t="shared" si="18"/>
        <v>808</v>
      </c>
      <c r="S19" s="134">
        <f t="shared" si="18"/>
        <v>1306</v>
      </c>
      <c r="T19" s="134">
        <f t="shared" si="18"/>
        <v>2191</v>
      </c>
      <c r="U19" s="134">
        <f t="shared" si="18"/>
        <v>1401</v>
      </c>
      <c r="V19" s="134">
        <f t="shared" si="18"/>
        <v>2096</v>
      </c>
      <c r="W19" s="134">
        <f t="shared" si="18"/>
        <v>378</v>
      </c>
      <c r="X19" s="134">
        <f t="shared" si="18"/>
        <v>729</v>
      </c>
      <c r="Y19" s="134">
        <f t="shared" si="18"/>
        <v>43</v>
      </c>
      <c r="Z19" s="134">
        <f t="shared" si="18"/>
        <v>84</v>
      </c>
      <c r="AA19" s="134">
        <f t="shared" si="18"/>
        <v>81</v>
      </c>
      <c r="AB19" s="134">
        <f t="shared" si="18"/>
        <v>46</v>
      </c>
      <c r="AC19" s="134">
        <f t="shared" si="18"/>
        <v>0</v>
      </c>
      <c r="AD19" s="134">
        <f t="shared" si="18"/>
        <v>0</v>
      </c>
      <c r="AE19" s="134">
        <f t="shared" si="18"/>
        <v>0</v>
      </c>
      <c r="AF19" s="134">
        <f t="shared" si="18"/>
        <v>0</v>
      </c>
      <c r="AG19" s="134">
        <f t="shared" si="18"/>
        <v>46</v>
      </c>
      <c r="AH19" s="134">
        <f t="shared" si="18"/>
        <v>112</v>
      </c>
      <c r="AI19" s="134">
        <f t="shared" si="18"/>
        <v>115</v>
      </c>
      <c r="AJ19" s="134">
        <f t="shared" si="18"/>
        <v>43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1352</v>
      </c>
      <c r="AZ19" s="134">
        <f>SUBTOTAL(9,AZ9:AZ18)</f>
        <v>2303</v>
      </c>
      <c r="BA19" s="134">
        <f>SUBTOTAL(9,BA9:BA18)</f>
        <v>1516</v>
      </c>
      <c r="BB19" s="134">
        <f>SUBTOTAL(9,BB9:BB18)</f>
        <v>2139</v>
      </c>
      <c r="BC19" s="135">
        <f>SUBTOTAL(9,BC9:BC18)</f>
        <v>406</v>
      </c>
      <c r="BD19" s="213">
        <f>IF(ISNUMBER(BA19/AZ19),BA19/AZ19," - ")</f>
        <v>0.65827181936604429</v>
      </c>
      <c r="BE19" s="210">
        <f>IF(ISNUMBER(BB19/BA19),BB19/BA19, " - ")</f>
        <v>1.4109498680738786</v>
      </c>
      <c r="BF19" s="210">
        <f>IF(ISNUMBER(BC19/BA19),BC19/BA19, " - ")</f>
        <v>0.26781002638522428</v>
      </c>
      <c r="BG19" s="135">
        <f>IF(ISNUMBER((AY19+AZ19)/BA19),(AY19+AZ19)/BA19," - ")</f>
        <v>2.4109498680738786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Con/HRdioUKHM4E6z3nvdfxAFjEMAhmbHwDk5t6N9rubgWkiv7/Mi7rGQHlpv5M9pX4vAzwjU/DyjTwK+MgA==" saltValue="z4ivdKKzR0n3dkJ1UHEC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gubYbDPOZtSjHgbYa5/rIBWQ0gPh1faO+29kWgoXepSP9EFPLEumyONW/hZ5tOBmJRPcuQ23odSRnmuKx3mA==" saltValue="MS32x83GF1AD5RQnDfsY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36.142857142857139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84</v>
      </c>
      <c r="O12" s="334"/>
      <c r="P12" s="334"/>
      <c r="Q12" s="226">
        <f>IF(ISNUMBER(Datos!P12),Datos!P12,0)</f>
        <v>222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734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291</v>
      </c>
      <c r="BD12" s="229">
        <f>IF(ISNUMBER(Datos!N12),Datos!N12," - ")</f>
        <v>495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0.86476333583771603</v>
      </c>
      <c r="BH12" s="260">
        <f>IF(ISNUMBER(((IF(J_V="SI",Datos!L12/Datos!K12,(Datos!L12+Datos!AB12)/(Datos!K12+Datos!AA12)))*11)/factor_trimestre),((IF(J_V="SI",Datos!L12/Datos!K12,(Datos!L12+Datos!AB12)/(Datos!K12+Datos!AA12)))*11)/factor_trimestre," - ")</f>
        <v>15.233709817549958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0.16878980891719744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84</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116</v>
      </c>
      <c r="AD13" s="899">
        <f t="shared" si="1"/>
        <v>0</v>
      </c>
      <c r="AE13" s="899">
        <f t="shared" si="1"/>
        <v>0</v>
      </c>
      <c r="AF13" s="899">
        <f t="shared" si="1"/>
        <v>23</v>
      </c>
      <c r="AG13" s="899">
        <f t="shared" si="1"/>
        <v>0</v>
      </c>
      <c r="AH13" s="899">
        <f t="shared" si="1"/>
        <v>46</v>
      </c>
      <c r="AI13" s="899">
        <f t="shared" si="1"/>
        <v>0</v>
      </c>
      <c r="AJ13" s="899">
        <f t="shared" si="1"/>
        <v>0</v>
      </c>
      <c r="AK13" s="899">
        <f t="shared" si="1"/>
        <v>0</v>
      </c>
      <c r="AL13" s="899">
        <f t="shared" si="1"/>
        <v>0</v>
      </c>
      <c r="AM13" s="899">
        <f t="shared" si="1"/>
        <v>735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296</v>
      </c>
      <c r="BD13" s="899">
        <f t="shared" si="1"/>
        <v>495</v>
      </c>
      <c r="BE13" s="899">
        <f t="shared" si="1"/>
        <v>0</v>
      </c>
      <c r="BF13" s="899">
        <f t="shared" si="1"/>
        <v>0</v>
      </c>
      <c r="BG13" s="899">
        <f>IF(ISNUMBER(Datos!K13/Datos!J13),Datos!K13/Datos!J13," - ")</f>
        <v>0.85408406026962724</v>
      </c>
      <c r="BH13" s="903">
        <f>IF(ISNUMBER(((Datos!L13/Datos!K13)*11)/factor_trimestre),((Datos!L13/Datos!K13)*11)/factor_trimestre," - ")</f>
        <v>16.045496750232125</v>
      </c>
      <c r="BI13" s="899">
        <f>IF(ISNUMBER('Resol  Asuntos'!D13/NºAsuntos!G13),'Resol  Asuntos'!D13/NºAsuntos!G13," - ")</f>
        <v>0.25561312607944731</v>
      </c>
      <c r="BJ13" s="899" t="str">
        <f>IF(ISNUMBER(Datos!CI13/Datos!CJ13),Datos!CI13/Datos!CJ13," - ")</f>
        <v xml:space="preserve"> - </v>
      </c>
      <c r="BK13" s="899">
        <f>SUBTOTAL(9,BK8:BK12)</f>
        <v>0</v>
      </c>
      <c r="BL13" s="899">
        <f>IF(ISNUMBER((I13-AB13+L13)/(F13)),(I13-AB13+L13)/(F13)," - ")</f>
        <v>-0.4375</v>
      </c>
      <c r="BM13" s="904">
        <f>SUBTOTAL(9,BM9:BM12)</f>
        <v>0.16878980891719744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639</v>
      </c>
      <c r="G16" s="598">
        <f>IF(ISNUMBER(IF(D_I="SI",Datos!I16,Datos!I16+Datos!AC16)),IF(D_I="SI",Datos!I16,Datos!I16+Datos!AC16)," - ")</f>
        <v>639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844</v>
      </c>
      <c r="AC16" s="226">
        <f>IF(ISNUMBER(Datos!Q16),Datos!Q16," - ")</f>
        <v>20</v>
      </c>
      <c r="AD16" s="334"/>
      <c r="AE16" s="484"/>
      <c r="AF16" s="596">
        <f>IF(ISNUMBER(IF(D_I="SI",Datos!L16,Datos!L16+Datos!AF16)),IF(D_I="SI",Datos!L16,Datos!L16+Datos!AF16)," - ")</f>
        <v>789</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213</v>
      </c>
      <c r="BD16" s="229">
        <f>IF(ISNUMBER(Datos!N16),Datos!N16," - ")</f>
        <v>504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0.84909456740442657</v>
      </c>
      <c r="BH16" s="260">
        <f>IF(ISNUMBER(((IF(D_I="SI",Datos!L16/Datos!K16,(Datos!L16+Datos!AF16)/(Datos!K16+Datos!AE16)))*11)/factor_trimestre),((IF(D_I="SI",Datos!L16/Datos!K16,(Datos!L16+Datos!AF16)/(Datos!K16+Datos!AE16)))*11)/factor_trimestre," - ")</f>
        <v>10.283175355450236</v>
      </c>
      <c r="BI16" s="243">
        <f>IF(ISNUMBER('Resol  Asuntos'!D16/NºAsuntos!G16),'Resol  Asuntos'!D16/NºAsuntos!G16," - ")</f>
        <v>0.25236966824644552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72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0.96153846153846156</v>
      </c>
      <c r="BH17" s="260">
        <f>IF(ISNUMBER(((IF(D_I="SI",Datos!L17/Datos!K17,(Datos!L17+Datos!AF17)/(Datos!K17+Datos!AE17)))*11)/factor_trimestre),((IF(D_I="SI",Datos!L17/Datos!K17,(Datos!L17+Datos!AF17)/(Datos!K17+Datos!AE17)))*11)/factor_trimestre," - ")</f>
        <v>15.84</v>
      </c>
      <c r="BI17" s="243">
        <f>IF(ISNUMBER('Resol  Asuntos'!D17/NºAsuntos!G17),'Resol  Asuntos'!D17/NºAsuntos!G17," - ")</f>
        <v>0.14000000000000001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639</v>
      </c>
      <c r="G18" s="898">
        <f>SUBTOTAL(9,G15:G17)</f>
        <v>709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894</v>
      </c>
      <c r="AC18" s="899">
        <f t="shared" si="4"/>
        <v>20</v>
      </c>
      <c r="AD18" s="899">
        <f t="shared" si="4"/>
        <v>0</v>
      </c>
      <c r="AE18" s="899">
        <f t="shared" si="4"/>
        <v>0</v>
      </c>
      <c r="AF18" s="899">
        <f t="shared" si="4"/>
        <v>861</v>
      </c>
      <c r="AG18" s="899">
        <f t="shared" si="4"/>
        <v>0</v>
      </c>
      <c r="AH18" s="899">
        <f t="shared" si="4"/>
        <v>0</v>
      </c>
      <c r="AI18" s="899">
        <f t="shared" si="4"/>
        <v>0</v>
      </c>
      <c r="AJ18" s="899">
        <f t="shared" si="4"/>
        <v>0</v>
      </c>
      <c r="AK18" s="899">
        <f t="shared" si="4"/>
        <v>0</v>
      </c>
      <c r="AL18" s="899">
        <f t="shared" si="4"/>
        <v>0</v>
      </c>
      <c r="AM18" s="899">
        <f t="shared" si="4"/>
        <v>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220</v>
      </c>
      <c r="BD18" s="899">
        <f t="shared" si="4"/>
        <v>560</v>
      </c>
      <c r="BE18" s="899">
        <f t="shared" si="4"/>
        <v>0</v>
      </c>
      <c r="BF18" s="899">
        <f t="shared" si="4"/>
        <v>0</v>
      </c>
      <c r="BG18" s="899">
        <f>IF(ISNUMBER(Datos!K18/Datos!J18),Datos!K18/Datos!J18," - ")</f>
        <v>0.85468451242829824</v>
      </c>
      <c r="BH18" s="903">
        <f>IF(ISNUMBER(((Datos!L18/Datos!K18)*11)/factor_trimestre),((Datos!L18/Datos!K18)*11)/factor_trimestre," - ")</f>
        <v>10.593959731543624</v>
      </c>
      <c r="BI18" s="899">
        <f>SUBTOTAL(9,BI15:BI17)</f>
        <v>0.39236966824644554</v>
      </c>
      <c r="BJ18" s="899">
        <f>SUBTOTAL(9,BJ15:BJ17)</f>
        <v>0</v>
      </c>
      <c r="BK18" s="899">
        <f>SUBTOTAL(9,BK15:BK17)</f>
        <v>0</v>
      </c>
      <c r="BL18" s="899">
        <f>IF(ISNUMBER((I18-AB18+L18)/(F18)),(I18-AB18+L18)/(F18)," - ")</f>
        <v>-1.3990610328638498</v>
      </c>
      <c r="BM18" s="905">
        <f>IF(ISNUMBER((Datos!P18-Datos!Q18)/(Datos!R18-Datos!P18+Datos!Q18)),(Datos!P18-Datos!Q18)/(Datos!R18-Datos!P18+Datos!Q18)," - ")</f>
        <v>0.140625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655</v>
      </c>
      <c r="G19" s="820">
        <f t="shared" si="6"/>
        <v>725</v>
      </c>
      <c r="H19" s="822">
        <f t="shared" si="6"/>
        <v>0</v>
      </c>
      <c r="I19" s="820">
        <f t="shared" si="6"/>
        <v>0</v>
      </c>
      <c r="J19" s="822">
        <f t="shared" si="6"/>
        <v>0</v>
      </c>
      <c r="K19" s="822">
        <f t="shared" si="6"/>
        <v>0</v>
      </c>
      <c r="L19" s="881">
        <f t="shared" si="6"/>
        <v>0</v>
      </c>
      <c r="M19" s="881">
        <f t="shared" si="6"/>
        <v>0</v>
      </c>
      <c r="N19" s="881">
        <f t="shared" si="6"/>
        <v>84</v>
      </c>
      <c r="O19" s="881">
        <f t="shared" si="6"/>
        <v>0</v>
      </c>
      <c r="P19" s="881">
        <f t="shared" si="6"/>
        <v>0</v>
      </c>
      <c r="Q19" s="822">
        <f t="shared" si="6"/>
        <v>252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901</v>
      </c>
      <c r="AC19" s="821">
        <f t="shared" si="7"/>
        <v>136</v>
      </c>
      <c r="AD19" s="821">
        <f t="shared" si="7"/>
        <v>0</v>
      </c>
      <c r="AE19" s="821">
        <f t="shared" si="7"/>
        <v>0</v>
      </c>
      <c r="AF19" s="828">
        <f t="shared" si="7"/>
        <v>884</v>
      </c>
      <c r="AG19" s="828">
        <f t="shared" si="7"/>
        <v>0</v>
      </c>
      <c r="AH19" s="828">
        <f t="shared" si="7"/>
        <v>46</v>
      </c>
      <c r="AI19" s="828">
        <f t="shared" si="7"/>
        <v>0</v>
      </c>
      <c r="AJ19" s="821">
        <f t="shared" si="7"/>
        <v>0</v>
      </c>
      <c r="AK19" s="828">
        <f t="shared" si="7"/>
        <v>0</v>
      </c>
      <c r="AL19" s="828">
        <f t="shared" si="7"/>
        <v>0</v>
      </c>
      <c r="AM19" s="828">
        <f t="shared" si="7"/>
        <v>808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516</v>
      </c>
      <c r="BD19" s="820">
        <f t="shared" si="7"/>
        <v>1055</v>
      </c>
      <c r="BE19" s="820">
        <f t="shared" si="7"/>
        <v>0</v>
      </c>
      <c r="BF19" s="830">
        <f t="shared" si="7"/>
        <v>0</v>
      </c>
      <c r="BG19" s="915">
        <f>IF(ISNUMBER(Datos!K19/Datos!J19),Datos!K19/Datos!J19," - ")</f>
        <v>0.85435630689206765</v>
      </c>
      <c r="BH19" s="915">
        <f>IF(ISNUMBER(((Datos!L19/Datos!K19)*11)/factor_trimestre),((Datos!L19/Datos!K19)*11)/factor_trimestre," - ")</f>
        <v>13.572805682394723</v>
      </c>
      <c r="BI19" s="813">
        <f>IF(ISNUMBER(Datos!J19/Datos!I19),Datos!J19/Datos!I19," - ")</f>
        <v>1.1006679389312977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-1.3755725190839694</v>
      </c>
      <c r="BM19" s="889">
        <f>IF(ISNUMBER((Datos!P19-Datos!Q19+R19)/(Datos!R19-Datos!P19+Datos!Q19-R19)),(Datos!P19-Datos!Q19+R19)/(Datos!R19-Datos!P19+Datos!Q19-R19)," - ")</f>
        <v>0.16763005780346821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359.68921770513685</v>
      </c>
      <c r="G21" s="552">
        <f>IF(ISNUMBER(STDEV(G8:G18)),STDEV(G8:G18),"-")</f>
        <v>352.1058079611866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464.95408375451439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133.14353157401226</v>
      </c>
      <c r="BD21" s="551"/>
      <c r="BE21" s="551">
        <f>IF(ISNUMBER(STDEV(BE8:BE18)),STDEV(BE8:BE18),"-")</f>
        <v>0</v>
      </c>
      <c r="BF21" s="556">
        <f>IF(ISNUMBER(STDEV(BF8:BF18)),STDEV(BF8:BF18),"-")</f>
        <v>0</v>
      </c>
      <c r="BG21" s="775">
        <f>IF(ISNUMBER(STDEV(BG8:BG18)),STDEV(BG8:BG18),"-")</f>
        <v>0.15964592037692626</v>
      </c>
      <c r="BH21" s="776">
        <f>IF(ISNUMBER(STDEV(BH8:BH18)),STDEV(BH8:BH18),"-")</f>
        <v>9.562591981588362</v>
      </c>
      <c r="BI21" s="249">
        <f>IF(ISNUMBER(STDEV(BI8:BI18)),STDEV(BI8:BI18),"-")</f>
        <v>0.10327820783313373</v>
      </c>
      <c r="BJ21" s="230" t="str">
        <f>IF(ISNUMBER(BL21/BM21),BL21/BM21," - ")</f>
        <v xml:space="preserve"> - </v>
      </c>
      <c r="BK21" s="575"/>
      <c r="BL21" s="559">
        <f>IF(ISNUMBER(STDEV(BL8:BL18)),STDEV(BL8:BL18),"-")</f>
        <v>0.67992632686276888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fzlCqFwCRJOVZxPk8SUbmLm/K7CfbI8DbqXLm5U9ZKcscAobtUbma7pXZSM46nMQXub7hmSj2leXv4o+rbtmw==" saltValue="8Sc99PiefKoBjlCWr4L43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CORCUBION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36.142857142857139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734</v>
      </c>
      <c r="AF12" s="229" t="str">
        <f>IF(ISNUMBER(Datos!BV12),Datos!BV12," - ")</f>
        <v xml:space="preserve"> - </v>
      </c>
      <c r="AG12" s="225" t="str">
        <f>IF(ISNUMBER(Datos!DV12),Datos!DV12," - ")</f>
        <v xml:space="preserve"> - </v>
      </c>
      <c r="AH12" s="298"/>
      <c r="AI12" s="227"/>
      <c r="AJ12" s="225">
        <f>IF(ISNUMBER(Datos!M12),Datos!M12," - ")</f>
        <v>291</v>
      </c>
      <c r="AK12" s="229">
        <f>IF(ISNUMBER(Datos!N12),Datos!N12," - ")</f>
        <v>495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15.233709817549958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0.16878980891719744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116</v>
      </c>
      <c r="AA13" s="900">
        <f t="shared" si="2"/>
        <v>23</v>
      </c>
      <c r="AB13" s="900">
        <f t="shared" si="2"/>
        <v>0</v>
      </c>
      <c r="AC13" s="900">
        <f t="shared" si="2"/>
        <v>0</v>
      </c>
      <c r="AD13" s="900">
        <f t="shared" si="2"/>
        <v>0</v>
      </c>
      <c r="AE13" s="900">
        <f t="shared" si="2"/>
        <v>735</v>
      </c>
      <c r="AF13" s="908">
        <f t="shared" si="2"/>
        <v>0</v>
      </c>
      <c r="AG13" s="908">
        <f t="shared" si="2"/>
        <v>0</v>
      </c>
      <c r="AH13" s="908">
        <f t="shared" si="2"/>
        <v>0</v>
      </c>
      <c r="AI13" s="908">
        <f t="shared" si="2"/>
        <v>0</v>
      </c>
      <c r="AJ13" s="908">
        <f t="shared" si="2"/>
        <v>296</v>
      </c>
      <c r="AK13" s="908">
        <f t="shared" si="2"/>
        <v>495</v>
      </c>
      <c r="AL13" s="908">
        <f t="shared" si="2"/>
        <v>0</v>
      </c>
      <c r="AM13" s="908">
        <f t="shared" si="2"/>
        <v>0</v>
      </c>
      <c r="AN13" s="908">
        <f t="shared" si="2"/>
        <v>0</v>
      </c>
      <c r="AO13" s="904">
        <f>IF(ISNUMBER(((NºAsuntos!I13/NºAsuntos!G13)*11)/factor_trimestre),((NºAsuntos!I13/NºAsuntos!G13)*11)/factor_trimestre," - ")</f>
        <v>15.360103626943006</v>
      </c>
      <c r="AP13" s="910" t="str">
        <f>IF(ISNUMBER(Datos!CI13/Datos!CJ13),Datos!CI13/Datos!CJ13," - ")</f>
        <v xml:space="preserve"> - </v>
      </c>
      <c r="AQ13" s="928">
        <f t="shared" ref="AQ13:AV13" si="3">SUBTOTAL(9,AQ9:AQ12)</f>
        <v>0</v>
      </c>
      <c r="AR13" s="928">
        <f t="shared" si="3"/>
        <v>0.16878980891719744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639</v>
      </c>
      <c r="G16" s="225">
        <f>IF(ISNUMBER(IF(D_I="SI",Datos!I16,Datos!I16+Datos!AC16)),IF(D_I="SI",Datos!I16,Datos!I16+Datos!AC16)," - ")</f>
        <v>639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844</v>
      </c>
      <c r="Z16" s="619">
        <f>IF(ISNUMBER(Datos!Q16),Datos!Q16," - ")</f>
        <v>20</v>
      </c>
      <c r="AA16" s="332">
        <f>IF(ISNUMBER(IF(D_I="SI",Datos!L16,Datos!L16+Datos!AF16)),IF(D_I="SI",Datos!L16,Datos!L16+Datos!AF16)," - ")</f>
        <v>789</v>
      </c>
      <c r="AB16" s="334"/>
      <c r="AC16" s="334"/>
      <c r="AD16" s="484"/>
      <c r="AE16" s="484">
        <f>IF(ISNUMBER(Datos!R16),Datos!R16," - ")</f>
        <v>72</v>
      </c>
      <c r="AF16" s="229" t="str">
        <f>IF(ISNUMBER(Datos!BV16),Datos!BV16," - ")</f>
        <v xml:space="preserve"> - </v>
      </c>
      <c r="AG16" s="225"/>
      <c r="AH16" s="298"/>
      <c r="AI16" s="227"/>
      <c r="AJ16" s="225">
        <f>IF(ISNUMBER(Datos!M16),Datos!M16," - ")</f>
        <v>213</v>
      </c>
      <c r="AK16" s="229">
        <f>IF(ISNUMBER(Datos!N16),Datos!N16," - ")</f>
        <v>504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10.283175355450236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72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639</v>
      </c>
      <c r="G18" s="898">
        <f>SUBTOTAL(9,G15:G17)</f>
        <v>709</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894</v>
      </c>
      <c r="Z18" s="932">
        <f t="shared" si="5"/>
        <v>20</v>
      </c>
      <c r="AA18" s="932">
        <f t="shared" si="5"/>
        <v>861</v>
      </c>
      <c r="AB18" s="932">
        <f t="shared" si="5"/>
        <v>0</v>
      </c>
      <c r="AC18" s="932">
        <f t="shared" si="5"/>
        <v>0</v>
      </c>
      <c r="AD18" s="932">
        <f t="shared" si="5"/>
        <v>0</v>
      </c>
      <c r="AE18" s="932">
        <f t="shared" si="5"/>
        <v>73</v>
      </c>
      <c r="AF18" s="932">
        <f t="shared" si="5"/>
        <v>0</v>
      </c>
      <c r="AG18" s="932">
        <f t="shared" si="5"/>
        <v>0</v>
      </c>
      <c r="AH18" s="932">
        <f t="shared" si="5"/>
        <v>0</v>
      </c>
      <c r="AI18" s="932">
        <f t="shared" si="5"/>
        <v>0</v>
      </c>
      <c r="AJ18" s="932">
        <f t="shared" si="5"/>
        <v>220</v>
      </c>
      <c r="AK18" s="932">
        <f t="shared" si="5"/>
        <v>560</v>
      </c>
      <c r="AL18" s="932">
        <f t="shared" si="5"/>
        <v>0</v>
      </c>
      <c r="AM18" s="932">
        <f t="shared" si="5"/>
        <v>0</v>
      </c>
      <c r="AN18" s="932">
        <f t="shared" si="5"/>
        <v>0</v>
      </c>
      <c r="AO18" s="934">
        <f>IF(ISNUMBER(((NºAsuntos!I18/NºAsuntos!G18)*11)/factor_trimestre),((NºAsuntos!I18/NºAsuntos!G18)*11)/factor_trimestre," - ")</f>
        <v>10.593959731543624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655</v>
      </c>
      <c r="G19" s="820">
        <f t="shared" si="7"/>
        <v>725</v>
      </c>
      <c r="H19" s="821">
        <f t="shared" si="7"/>
        <v>0</v>
      </c>
      <c r="I19" s="820">
        <f t="shared" si="7"/>
        <v>0</v>
      </c>
      <c r="J19" s="822">
        <f t="shared" si="7"/>
        <v>0</v>
      </c>
      <c r="K19" s="820">
        <f t="shared" si="7"/>
        <v>0</v>
      </c>
      <c r="L19" s="823">
        <f t="shared" si="7"/>
        <v>0</v>
      </c>
      <c r="M19" s="820">
        <f t="shared" si="7"/>
        <v>0</v>
      </c>
      <c r="N19" s="821">
        <f t="shared" si="7"/>
        <v>252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901</v>
      </c>
      <c r="Z19" s="827">
        <f t="shared" si="8"/>
        <v>136</v>
      </c>
      <c r="AA19" s="828">
        <f t="shared" si="8"/>
        <v>884</v>
      </c>
      <c r="AB19" s="828">
        <f t="shared" si="8"/>
        <v>0</v>
      </c>
      <c r="AC19" s="828">
        <f t="shared" si="8"/>
        <v>0</v>
      </c>
      <c r="AD19" s="829">
        <f t="shared" si="8"/>
        <v>0</v>
      </c>
      <c r="AE19" s="829">
        <f t="shared" si="8"/>
        <v>808</v>
      </c>
      <c r="AF19" s="830">
        <f t="shared" si="8"/>
        <v>0</v>
      </c>
      <c r="AG19" s="831">
        <f t="shared" si="8"/>
        <v>0</v>
      </c>
      <c r="AH19" s="832">
        <f t="shared" si="8"/>
        <v>0</v>
      </c>
      <c r="AI19" s="830">
        <f t="shared" si="8"/>
        <v>0</v>
      </c>
      <c r="AJ19" s="820">
        <f t="shared" si="8"/>
        <v>516</v>
      </c>
      <c r="AK19" s="820">
        <f t="shared" si="8"/>
        <v>1055</v>
      </c>
      <c r="AL19" s="820">
        <f t="shared" si="8"/>
        <v>0</v>
      </c>
      <c r="AM19" s="833">
        <f t="shared" si="8"/>
        <v>0</v>
      </c>
      <c r="AN19" s="823">
        <f>IF(ISNUMBER(Datos!K19/Datos!J19),Datos!K19/Datos!J19," - ")</f>
        <v>0.85435630689206765</v>
      </c>
      <c r="AO19" s="823">
        <f>IF(ISNUMBER(FIND("06",Criterios!A8,1)),(IF(ISNUMBER(((Datos!R19/Datos!Q19)*11)/factor_trimestre),((Datos!R19/Datos!Q19)*11)/factor_trimestre," - ")),(IF(ISNUMBER(((Datos!L19/Datos!K19)*11)/factor_trimestre),((Datos!L19/Datos!K19)*11)/factor_trimestre," - ")))</f>
        <v>13.572805682394723</v>
      </c>
      <c r="AP19" s="834" t="str">
        <f>IF(ISNUMBER(Datos!CI19/Datos!CJ19),Datos!CI19/Datos!CJ19," - ")</f>
        <v xml:space="preserve"> - </v>
      </c>
      <c r="AQ19" s="834">
        <f>IF(OR(ISNUMBER(FIND("01",Criterios!A8,1)),ISNUMBER(FIND("02",Criterios!A8,1)),ISNUMBER(FIND("03",Criterios!A8,1)),ISNUMBER(FIND("04",Criterios!A8,1))),(J19-Y19+K19)/(F19-K19),(I19-Y19+K19)/(F19-K19))</f>
        <v>-1.3755725190839694</v>
      </c>
      <c r="AR19" s="834">
        <f>IF(ISNUMBER((Datos!P19-Datos!Q19+O19)/(Datos!R19-Datos!P19+Datos!Q19-O19)),(Datos!P19-Datos!Q19+O19)/(Datos!R19-Datos!P19+Datos!Q19-O19)," - ")</f>
        <v>0.16763005780346821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359.68921770513685</v>
      </c>
      <c r="G21" s="552">
        <f>IF(ISNUMBER(STDEV(G8:G18)),STDEV(G8:G18),"-")</f>
        <v>352.1058079611866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133.14353157401226</v>
      </c>
      <c r="AK21" s="252"/>
      <c r="AL21" s="252">
        <f>IF(ISNUMBER(STDEV(AL8:AL18)),STDEV(AL8:AL18),"-")</f>
        <v>0</v>
      </c>
      <c r="AM21" s="254">
        <f>IF(ISNUMBER(STDEV(AM8:AM18)),STDEV(AM8:AM18),"-")</f>
        <v>0</v>
      </c>
      <c r="AN21" s="539">
        <f>IF(ISNUMBER(STDEV(AN8:AN18)),STDEV(AN8:AN18),"-")</f>
        <v>0</v>
      </c>
      <c r="AO21" s="540">
        <f>IF(ISNUMBER(STDEV(AO8:AO18)),STDEV(AO8:AO18),"-")</f>
        <v>9.5854519711043835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f7xt+4JPRhFxwYXORsMhkib6zeabQDFPsUUeVUbGWfySWZTOT8oLjkvNamrVRhEyLUvHTYe1IfQgZSmJW2uzQ==" saltValue="9VUkG+Fv/TazI59VYJ+n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LOHBdK/5tsv2pOYIcqEzJT7Crbkn+TR7Vx7YXctFizykwpXewueja7//v31AXy4OPriVHA3y/D40+fehJ+cw==" saltValue="uGnkSJVckyRBjEIDytsn0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xzoKJbJuSpJzXKedadBkwkZb7FNNd0CwlpVk0hi7tvR1IvyEv/uDe0VJ0kvsmv5saBkwRXXRUYJyx+FOXa0jQ==" saltValue="ajk1eQzBiNDltTTB9gp5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CORCUBION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0.25561312607944731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0.18074577481106913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uEiK3iw3ss0mrEEMiivbk67AASgd85aIU34g76HMimPOjjE8Z5khakLDk7TBSIulL5pGKnhoV0N2BosOlzzcQ==" saltValue="u9cO69gnHGu5QrnFkQBd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VMCBhOycvKfCUNVOyrIbbSbShfGyOnl+xEcANh4qo6pwspsHOU2uq3pdCM3t/gEX9Y0s3FPQx72QHlZNjnR5Q==" saltValue="3PHJsZt48vTZrGT5lsUs4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CORCUBION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14</v>
      </c>
      <c r="F10" s="404">
        <f>IF(ISNUMBER(E10/B10),E10/B10," - ")</f>
        <v>14</v>
      </c>
      <c r="G10" s="403">
        <f>IF(ISNUMBER(Datos!K10),Datos!K10," - ")</f>
        <v>7</v>
      </c>
      <c r="H10" s="404">
        <f>IF(ISNUMBER(G10/B10),G10/B10," - ")</f>
        <v>7</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1414</v>
      </c>
      <c r="D12" s="404">
        <f>IF(ISNUMBER(C12/Datos!BH12),C12/Datos!BH12," - ")</f>
        <v>707</v>
      </c>
      <c r="E12" s="403">
        <f>IF(ISNUMBER(IF(J_V="SI",Datos!J12,Datos!J12+Datos!Z12)),IF(J_V="SI",Datos!J12,Datos!J12+Datos!Z12)," - ")</f>
        <v>1331</v>
      </c>
      <c r="F12" s="404">
        <f>IF(ISNUMBER(E12/B12),E12/B12," - ")</f>
        <v>665.5</v>
      </c>
      <c r="G12" s="403">
        <f>IF(ISNUMBER(IF(J_V="SI",Datos!K12,Datos!K12+Datos!AA12)),IF(J_V="SI",Datos!K12,Datos!K12+Datos!AA12)," - ")</f>
        <v>1151</v>
      </c>
      <c r="H12" s="404">
        <f>IF(ISNUMBER(G12/B12),G12/B12," - ")</f>
        <v>575.5</v>
      </c>
      <c r="I12" s="403">
        <f>IF(ISNUMBER(IF(J_V="SI",Datos!L12,Datos!L12+Datos!AB12)),IF(J_V="SI",Datos!L12,Datos!L12+Datos!AB12)," - ")</f>
        <v>1594</v>
      </c>
      <c r="J12" s="404">
        <f>IF(ISNUMBER(I12/B12),I12/B12," - ")</f>
        <v>797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1430</v>
      </c>
      <c r="D13" s="850" t="str">
        <f>IF(ISNUMBER(C13/Datos!BI13),C13/Datos!BI13," - ")</f>
        <v xml:space="preserve"> - </v>
      </c>
      <c r="E13" s="849">
        <f>SUBTOTAL(9,E8:E12)</f>
        <v>1345</v>
      </c>
      <c r="F13" s="850">
        <f>IF(ISNUMBER(E13/B13),E13/B13," - ")</f>
        <v>672.5</v>
      </c>
      <c r="G13" s="849">
        <f>SUBTOTAL(9,G8:G12)</f>
        <v>1158</v>
      </c>
      <c r="H13" s="850">
        <f>IF(ISNUMBER(G13/B13),G13/B13," - ")</f>
        <v>579</v>
      </c>
      <c r="I13" s="849">
        <f>SUBTOTAL(9,I8:I12)</f>
        <v>1617</v>
      </c>
      <c r="J13" s="850">
        <f>IF(ISNUMBER(I13/B13),I13/B13," - ")</f>
        <v>808.5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639</v>
      </c>
      <c r="D16" s="404">
        <f>IF(ISNUMBER(C16/Datos!BH16),C16/Datos!BH16," - ")</f>
        <v>319.5</v>
      </c>
      <c r="E16" s="403">
        <f>IF(ISNUMBER(IF(D_I="SI",Datos!J16,Datos!J16+Datos!AD16)),IF(D_I="SI",Datos!J16,Datos!J16+Datos!AD16)," - ")</f>
        <v>994</v>
      </c>
      <c r="F16" s="404">
        <f>IF(ISNUMBER(E16/B16),E16/B16," - ")</f>
        <v>497</v>
      </c>
      <c r="G16" s="403">
        <f>IF(ISNUMBER(IF(D_I="SI",Datos!K16,Datos!K16+Datos!AE16)),IF(D_I="SI",Datos!K16,Datos!K16+Datos!AE16)," - ")</f>
        <v>844</v>
      </c>
      <c r="H16" s="404">
        <f>IF(ISNUMBER(G16/B16),G16/B16," - ")</f>
        <v>422</v>
      </c>
      <c r="I16" s="403">
        <f>IF(ISNUMBER(IF(D_I="SI",Datos!L16,Datos!L16+Datos!AF16)),IF(D_I="SI",Datos!L16,Datos!L16+Datos!AF16)," - ")</f>
        <v>789</v>
      </c>
      <c r="J16" s="404">
        <f>IF(ISNUMBER(I16/B16),I16/B16," - ")</f>
        <v>394.5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52</v>
      </c>
      <c r="F17" s="404">
        <f>IF(ISNUMBER(E17/B17),E17/B17," - ")</f>
        <v>52</v>
      </c>
      <c r="G17" s="403">
        <f>IF(ISNUMBER(IF(D_I="SI",Datos!K17,Datos!K17+Datos!AE17)),IF(D_I="SI",Datos!K17,Datos!K17+Datos!AE17)," - ")</f>
        <v>50</v>
      </c>
      <c r="H17" s="404">
        <f>IF(ISNUMBER(G17/B17),G17/B17," - ")</f>
        <v>50</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709</v>
      </c>
      <c r="D18" s="850" t="str">
        <f>IF(ISNUMBER(C18/Datos!BI18),C18/Datos!BI18," - ")</f>
        <v xml:space="preserve"> - </v>
      </c>
      <c r="E18" s="849">
        <f>SUBTOTAL(9,E14:E17)</f>
        <v>1046</v>
      </c>
      <c r="F18" s="850">
        <f>IF(ISNUMBER(E18/B18),E18/B18," - ")</f>
        <v>523</v>
      </c>
      <c r="G18" s="849">
        <f>SUBTOTAL(9,G14:G17)</f>
        <v>894</v>
      </c>
      <c r="H18" s="850">
        <f>IF(ISNUMBER(G18/B18),G18/B18," - ")</f>
        <v>447</v>
      </c>
      <c r="I18" s="849">
        <f>SUBTOTAL(9,I14:I17)</f>
        <v>861</v>
      </c>
      <c r="J18" s="850">
        <f>IF(ISNUMBER(I18/B18),I18/B18," - ")</f>
        <v>430.5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2139</v>
      </c>
      <c r="D19" s="795" t="str">
        <f>IF(ISNUMBER(C19/Datos!BI19),C19/Datos!BI19," - ")</f>
        <v xml:space="preserve"> - </v>
      </c>
      <c r="E19" s="794">
        <f>SUBTOTAL(9,E9:E18)</f>
        <v>2391</v>
      </c>
      <c r="F19" s="795">
        <f>IF(ISNUMBER(E19/B19),E19/B19," - ")</f>
        <v>1195.5</v>
      </c>
      <c r="G19" s="794">
        <f>SUBTOTAL(9,G9:G18)</f>
        <v>2052</v>
      </c>
      <c r="H19" s="795">
        <f>IF(ISNUMBER(G19/B19),G19/B19," - ")</f>
        <v>1026</v>
      </c>
      <c r="I19" s="794">
        <f>SUBTOTAL(9,I9:I18)</f>
        <v>2478</v>
      </c>
      <c r="J19" s="795">
        <f>IF(ISNUMBER(I19/B19),I19/B19," - ")</f>
        <v>1239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dCNYpaIUSD/ZCTaSCok0syadkbwj6GN+bKu/cd1thjTnAhLY6DVkFJklSmcZsVQiL9QpyaABrvffcWgmVsh9w==" saltValue="f2jkQeJfZuMgvI/sG3k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CORCUBION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36.142857142857139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291</v>
      </c>
      <c r="AM12" s="690">
        <f>IF(ISNUMBER(Datos!N12+DatosP!N16),Datos!N12+DatosP!N16," - ")</f>
        <v>495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15.233709817549958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0.16878980891719744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116</v>
      </c>
      <c r="AE13" s="939">
        <f t="shared" si="1"/>
        <v>0</v>
      </c>
      <c r="AF13" s="939">
        <f t="shared" si="1"/>
        <v>23</v>
      </c>
      <c r="AG13" s="939">
        <f t="shared" si="1"/>
        <v>0</v>
      </c>
      <c r="AH13" s="939">
        <f t="shared" si="1"/>
        <v>734</v>
      </c>
      <c r="AI13" s="939">
        <f t="shared" si="1"/>
        <v>0</v>
      </c>
      <c r="AJ13" s="939">
        <f t="shared" si="1"/>
        <v>0</v>
      </c>
      <c r="AK13" s="939">
        <f t="shared" si="1"/>
        <v>0</v>
      </c>
      <c r="AL13" s="939">
        <f t="shared" si="1"/>
        <v>296</v>
      </c>
      <c r="AM13" s="939">
        <f t="shared" si="1"/>
        <v>495</v>
      </c>
      <c r="AN13" s="939">
        <f t="shared" si="1"/>
        <v>0</v>
      </c>
      <c r="AO13" s="939">
        <f t="shared" si="1"/>
        <v>0</v>
      </c>
      <c r="AP13" s="944">
        <f>IF(ISNUMBER(((Datos!L13/Datos!K13)*11)/factor_trimestre),((Datos!L13/Datos!K13)*11)/factor_trimestre," - ")</f>
        <v>16.045496750232125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-0.4375</v>
      </c>
      <c r="AU13" s="939" t="str">
        <f>IF(ISNUMBER((DatosP!#REF!-DatosP!#REF!+DatosP!#REF!)/(DatosP!#REF!+DatosP!#REF!-DatosP!#REF!-DatosP!#REF!)),(DatosP!#REF!-DatosP!#REF!+DatosP!#REF!)/(DatosP!#REF!+DatosP!#REF!-DatosP!#REF!-DatosP!#REF!)," - ")</f>
        <v xml:space="preserve"> - </v>
      </c>
      <c r="AV13" s="945">
        <f>SUBTOTAL(9,AV9:AV12)</f>
        <v>0.16878980891719744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10.593959731543624</v>
      </c>
      <c r="AQ18" s="944">
        <f>IF(ISNUMBER(((Datos!M18/Datos!L18)*11)/factor_trimestre),((Datos!M18/Datos!L18)*11)/factor_trimestre," - ")</f>
        <v>2.81068524970964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0.140625</v>
      </c>
      <c r="AW18" s="946">
        <f>IF(ISNUMBER((Datos!Q18-Datos!R18)/(Datos!S18-Datos!Q18+Datos!R18)),(Datos!Q18-Datos!R18)/(Datos!S18-Datos!Q18+Datos!R18)," - ")</f>
        <v>-0.12045454545454545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116</v>
      </c>
      <c r="AE19" s="957">
        <f t="shared" si="5"/>
        <v>0</v>
      </c>
      <c r="AF19" s="958">
        <f t="shared" si="5"/>
        <v>23</v>
      </c>
      <c r="AG19" s="958">
        <f t="shared" si="5"/>
        <v>0</v>
      </c>
      <c r="AH19" s="958">
        <f t="shared" si="5"/>
        <v>734</v>
      </c>
      <c r="AI19" s="958">
        <f t="shared" si="5"/>
        <v>0</v>
      </c>
      <c r="AJ19" s="959">
        <f t="shared" si="5"/>
        <v>0</v>
      </c>
      <c r="AK19" s="959">
        <f t="shared" si="5"/>
        <v>0</v>
      </c>
      <c r="AL19" s="951">
        <f t="shared" si="5"/>
        <v>296</v>
      </c>
      <c r="AM19" s="951">
        <f t="shared" si="5"/>
        <v>495</v>
      </c>
      <c r="AN19" s="951">
        <f t="shared" si="5"/>
        <v>0</v>
      </c>
      <c r="AO19" s="951">
        <f t="shared" si="5"/>
        <v>0</v>
      </c>
      <c r="AP19" s="951">
        <f>IF(ISNUMBER(((Datos!L19/Datos!K19)*11)/factor_trimestre),((Datos!L19/Datos!K19)*11)/factor_trimestre," - ")</f>
        <v>13.572805682394723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0.16763005780346821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168.03372677332766</v>
      </c>
      <c r="AM21" s="736"/>
      <c r="AN21" s="736">
        <f>IF(ISNUMBER(STDEV(AN8:AN18)),STDEV(AN8:AN18),"-")</f>
        <v>0</v>
      </c>
      <c r="AO21" s="742">
        <f>IF(ISNUMBER(STDEV(AO8:AO18)),STDEV(AO8:AO18),"-")</f>
        <v>0</v>
      </c>
      <c r="AP21" s="779">
        <f>IF(ISNUMBER(STDEV(AP8:AP18)),STDEV(AP8:AP18),"-")</f>
        <v>11.349552231648749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661pHnGf+Rt1G41Vc5c23rRn2DtWVU0mBeAjEHTMobdjhl0H+G20CC5ezTlSonuqGGT9vXhs73B9EAO9eYnlQ==" saltValue="9jy2KUhHP9tJ9mpt9Fgc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CORCUBION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NunLugATPQscjKcsZaYopfU9M42if9bRRsJZ1aYm8JyJHa2Pm8JPx/6maG3qE6ypDDQ3tD3O61scWt7lNglmw==" saltValue="ZMehwJ7eiDFfc7AGi1B7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CORCUBION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291</v>
      </c>
      <c r="E12" s="404">
        <f t="shared" si="0"/>
        <v>145.5</v>
      </c>
      <c r="F12" s="403">
        <f>IF(ISNUMBER(Datos!N12),Datos!N12," - ")</f>
        <v>495</v>
      </c>
      <c r="G12" s="404">
        <f t="shared" si="1"/>
        <v>247.5</v>
      </c>
      <c r="H12" s="403">
        <f>IF(ISNUMBER(Datos!O12),Datos!O12," - ")</f>
        <v>487</v>
      </c>
      <c r="I12" s="404">
        <f t="shared" si="2"/>
        <v>243.5</v>
      </c>
      <c r="BZ12" s="1186">
        <f>Datos!EZ12</f>
        <v>0</v>
      </c>
    </row>
    <row r="13" spans="1:78" ht="14.25" thickTop="1" thickBot="1">
      <c r="A13" s="848" t="str">
        <f>Datos!A13</f>
        <v>TOTAL</v>
      </c>
      <c r="B13" s="849">
        <f>Datos!AP13</f>
        <v>2</v>
      </c>
      <c r="C13" s="851">
        <f>Datos!AR13</f>
        <v>2</v>
      </c>
      <c r="D13" s="849">
        <f>SUBTOTAL(9,D9:D12)</f>
        <v>296</v>
      </c>
      <c r="E13" s="850">
        <f t="shared" si="0"/>
        <v>148</v>
      </c>
      <c r="F13" s="849">
        <f>SUBTOTAL(9,F9:F12)</f>
        <v>495</v>
      </c>
      <c r="G13" s="850">
        <f t="shared" si="1"/>
        <v>247.5</v>
      </c>
      <c r="H13" s="849">
        <f>SUBTOTAL(9,H9:H12)</f>
        <v>487</v>
      </c>
      <c r="I13" s="850">
        <f>IF(ISNUMBER(H13/B13),H13/B13," - ")</f>
        <v>243.5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213</v>
      </c>
      <c r="E16" s="404">
        <f t="shared" si="3"/>
        <v>106.5</v>
      </c>
      <c r="F16" s="403">
        <f>IF(ISNUMBER(Datos!N16),Datos!N16," - ")</f>
        <v>504</v>
      </c>
      <c r="G16" s="404">
        <f t="shared" si="4"/>
        <v>252</v>
      </c>
      <c r="H16" s="403">
        <f>IF(ISNUMBER(Datos!O16),Datos!O16," - ")</f>
        <v>12</v>
      </c>
      <c r="I16" s="404">
        <f t="shared" si="5"/>
        <v>6</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56</v>
      </c>
      <c r="G17" s="404">
        <f>IF(ISNUMBER(F17/B17),F17/B17," - ")</f>
        <v>56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220</v>
      </c>
      <c r="E18" s="850">
        <f t="shared" si="3"/>
        <v>110</v>
      </c>
      <c r="F18" s="849">
        <f>SUBTOTAL(9,F15:F17)</f>
        <v>560</v>
      </c>
      <c r="G18" s="850">
        <f t="shared" si="4"/>
        <v>280</v>
      </c>
      <c r="H18" s="849">
        <f>SUBTOTAL(9,H15:H17)</f>
        <v>12</v>
      </c>
      <c r="I18" s="850">
        <f>IF(ISNUMBER(H18/B18),H18/B18," - ")</f>
        <v>6</v>
      </c>
      <c r="BZ18" s="1186"/>
    </row>
    <row r="19" spans="1:78" ht="14.25" thickTop="1" thickBot="1">
      <c r="A19" s="793" t="str">
        <f>Datos!A19</f>
        <v>TOTAL JURISDICCIONES</v>
      </c>
      <c r="B19" s="794">
        <f>Datos!AP19</f>
        <v>2</v>
      </c>
      <c r="C19" s="794">
        <f>Datos!AR19</f>
        <v>2</v>
      </c>
      <c r="D19" s="794">
        <f>SUBTOTAL(9,D8:D18)</f>
        <v>516</v>
      </c>
      <c r="E19" s="795">
        <f>IF(ISNUMBER(D19/B19),D19/B19," - ")</f>
        <v>258</v>
      </c>
      <c r="F19" s="794">
        <f>SUBTOTAL(9,F8:F18)</f>
        <v>1055</v>
      </c>
      <c r="G19" s="795">
        <f>IF(ISNUMBER(F19/B19),F19/B19," - ")</f>
        <v>527.5</v>
      </c>
      <c r="H19" s="794">
        <f>SUBTOTAL(9,H8:H18)</f>
        <v>499</v>
      </c>
      <c r="I19" s="795">
        <f>IF(ISNUMBER(H19/B19),H19/B19," - ")</f>
        <v>249.5</v>
      </c>
    </row>
    <row r="22" spans="1:78">
      <c r="A22" s="391" t="str">
        <f>Criterios!A4</f>
        <v>Fecha Informe: 28 feb. 2025</v>
      </c>
    </row>
    <row r="27" spans="1:78">
      <c r="A27" s="414"/>
    </row>
  </sheetData>
  <sheetProtection algorithmName="SHA-512" hashValue="zm8n1RCrbImhtbWFuLbpjgWXkleJ2oZ+mLsEoMipLZMShewF841Yq2fRT0hKHMJIe1cG1LgPW6h5LBElo2n1Dw==" saltValue="mbaz8tu4uSjWQ+en/Fi2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CORCUBION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222</v>
      </c>
      <c r="C12" s="434">
        <f>IF(ISNUMBER(Datos!Q12),Datos!Q12," - ")</f>
        <v>116</v>
      </c>
      <c r="D12" s="408">
        <f>IF(ISNUMBER(Datos!R12),Datos!R12," - ")</f>
        <v>734</v>
      </c>
    </row>
    <row r="13" spans="1:4" ht="14.25" thickTop="1" thickBot="1">
      <c r="A13" s="848" t="str">
        <f>Datos!A13</f>
        <v>TOTAL</v>
      </c>
      <c r="B13" s="849">
        <f>SUBTOTAL(9,B9:B12)</f>
        <v>223</v>
      </c>
      <c r="C13" s="853">
        <f>SUBTOTAL(9,C9:C12)</f>
        <v>116</v>
      </c>
      <c r="D13" s="851">
        <f>SUBTOTAL(9,D9:D12)</f>
        <v>735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20</v>
      </c>
      <c r="D16" s="408">
        <f>IF(ISNUMBER(Datos!R16),Datos!R16," - ")</f>
        <v>72</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29</v>
      </c>
      <c r="C18" s="853">
        <f>SUBTOTAL(9,C15:C17)</f>
        <v>20</v>
      </c>
      <c r="D18" s="851">
        <f>SUBTOTAL(9,D15:D17)</f>
        <v>73</v>
      </c>
    </row>
    <row r="19" spans="1:4" ht="16.5" customHeight="1" thickTop="1" thickBot="1">
      <c r="A19" s="793" t="str">
        <f>Datos!A19</f>
        <v>TOTAL JURISDICCIONES</v>
      </c>
      <c r="B19" s="798">
        <f>SUBTOTAL(9,B8:B18)</f>
        <v>252</v>
      </c>
      <c r="C19" s="799">
        <f>SUBTOTAL(9,C8:C18)</f>
        <v>136</v>
      </c>
      <c r="D19" s="800">
        <f>SUBTOTAL(9,D8:D18)</f>
        <v>808</v>
      </c>
    </row>
    <row r="20" spans="1:4" ht="7.5" customHeight="1"/>
    <row r="21" spans="1:4" ht="6" customHeight="1"/>
    <row r="22" spans="1:4">
      <c r="A22" s="391" t="str">
        <f>Criterios!A4</f>
        <v>Fecha Informe: 28 feb. 2025</v>
      </c>
    </row>
    <row r="27" spans="1:4">
      <c r="A27" s="414"/>
    </row>
  </sheetData>
  <sheetProtection algorithmName="SHA-512" hashValue="fIc849DASDs/3bQd2RunOp6tlTo+p+olqpVH8f9+4ET0dFs1YIUYU7tGDfdsO92mk7CdnYBurZ48wAdnMbj5Nw==" saltValue="58XNimIKllrfTBIABbqC/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CORCUBION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-6.6666666666666666E-2</v>
      </c>
      <c r="D10" s="456">
        <f>IF(ISNUMBER((Datos!K10-Datos!U10)/Datos!U10),(Datos!K10-Datos!U10)/Datos!U10," - ")</f>
        <v>-0.125</v>
      </c>
      <c r="E10" s="456">
        <f>IF(ISNUMBER((Datos!L10-Datos!V10)/Datos!V10),(Datos!L10-Datos!V10)/Datos!V10," - ")</f>
        <v>0.4375</v>
      </c>
      <c r="F10" s="456">
        <f>IF(ISNUMBER((Datos!M10-Datos!W10)/Datos!W10),(Datos!M10-Datos!W10)/Datos!W10," - ")</f>
        <v>-0.2857142857142857</v>
      </c>
      <c r="G10" s="457" t="str">
        <f>IF(ISNUMBER((Datos!N10-Datos!X10)/Datos!X10),(Datos!N10-Datos!X10)/Datos!X10," - ")</f>
        <v xml:space="preserve"> - </v>
      </c>
      <c r="H10" s="455">
        <f>IF(ISNUMBER(((NºAsuntos!G10/NºAsuntos!E10)-Datos!BD10)/Datos!BD10),((NºAsuntos!G10/NºAsuntos!E10)-Datos!BD10)/Datos!BD10," - ")</f>
        <v>-6.2499999999999986E-2</v>
      </c>
      <c r="I10" s="456">
        <f>IF(ISNUMBER(((NºAsuntos!I10/NºAsuntos!G10)-Datos!BE10)/Datos!BE10),((NºAsuntos!I10/NºAsuntos!G10)-Datos!BE10)/Datos!BE10," - ")</f>
        <v>0.64285714285714279</v>
      </c>
      <c r="J10" s="461">
        <f>IF(ISNUMBER((('Resol  Asuntos'!D10/NºAsuntos!G10)-Datos!BF10)/Datos!BF10),(('Resol  Asuntos'!D10/NºAsuntos!G10)-Datos!BF10)/Datos!BF10," - ")</f>
        <v>-0.18367346938775508</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0.47907949790794979</v>
      </c>
      <c r="C12" s="456">
        <f>IF(ISNUMBER(
   IF(J_V="SI",(Datos!J12-Datos!T12)/Datos!T12,(Datos!J12+Datos!Z12-(Datos!T12+Datos!AH12))/(Datos!T12+Datos!AH12))
     ),IF(J_V="SI",(Datos!J12-Datos!T12)/Datos!T12,(Datos!J12+Datos!Z12-(Datos!T12+Datos!AH12))/(Datos!T12+Datos!AH12))," - ")</f>
        <v>9.4572368421052627E-2</v>
      </c>
      <c r="D12" s="456">
        <f>IF(ISNUMBER(
   IF(J_V="SI",(Datos!K12-Datos!U12)/Datos!U12,(Datos!K12+Datos!AA12-(Datos!U12+Datos!AI12))/(Datos!U12+Datos!AI12))
     ),IF(J_V="SI",(Datos!K12-Datos!U12)/Datos!U12,(Datos!K12+Datos!AA12-(Datos!U12+Datos!AI12))/(Datos!U12+Datos!AI12))," - ")</f>
        <v>0.51846965699208447</v>
      </c>
      <c r="E12" s="456">
        <f>IF(ISNUMBER(
   IF(J_V="SI",(Datos!L12-Datos!V12)/Datos!V12,(Datos!L12+Datos!AB12-(Datos!V12+Datos!AJ12))/(Datos!V12+Datos!AJ12))
     ),IF(J_V="SI",(Datos!L12-Datos!V12)/Datos!V12,(Datos!L12+Datos!AB12-(Datos!V12+Datos!AJ12))/(Datos!V12+Datos!AJ12))," - ")</f>
        <v>0.12729844413012731</v>
      </c>
      <c r="F12" s="456">
        <f>IF(ISNUMBER((Datos!M12-Datos!W12)/Datos!W12),(Datos!M12-Datos!W12)/Datos!W12," - ")</f>
        <v>0.28193832599118945</v>
      </c>
      <c r="G12" s="457">
        <f>IF(ISNUMBER((Datos!N12-Datos!X12)/Datos!X12),(Datos!N12-Datos!X12)/Datos!X12," - ")</f>
        <v>0.94117647058823528</v>
      </c>
      <c r="H12" s="455">
        <f>IF(ISNUMBER(((NºAsuntos!G12/NºAsuntos!E12)-Datos!BD12)/Datos!BD12),((NºAsuntos!G12/NºAsuntos!E12)-Datos!BD12)/Datos!BD12," - ")</f>
        <v>0.38727205327000364</v>
      </c>
      <c r="I12" s="456">
        <f>IF(ISNUMBER(((NºAsuntos!I12/NºAsuntos!G12)-Datos!BE12)/Datos!BE12),((NºAsuntos!I12/NºAsuntos!G12)-Datos!BE12)/Datos!BE12," - ")</f>
        <v>-0.25760884391777888</v>
      </c>
      <c r="J12" s="461">
        <f>IF(ISNUMBER((('Resol  Asuntos'!D12/NºAsuntos!G12)-Datos!BF12)/Datos!BF12),(('Resol  Asuntos'!D12/NºAsuntos!G12)-Datos!BF12)/Datos!BF12," - ")</f>
        <v>-0.24846936168038031</v>
      </c>
      <c r="K12" s="462">
        <f>IF(ISNUMBER((((NºAsuntos!C12+NºAsuntos!E12)/NºAsuntos!G12)-Datos!BG12)/Datos!BG12),(((NºAsuntos!C12+NºAsuntos!E12)/NºAsuntos!G12)-Datos!BG12)/Datos!BG12," - ")</f>
        <v>-0.16770667831479719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0.48186528497409326</v>
      </c>
      <c r="C13" s="855">
        <f>IF(ISNUMBER(
   IF(J_V="SI",(Datos!J13-Datos!T13)/Datos!T13,(Datos!J13+Datos!Z13-(Datos!T13+Datos!AH13))/(Datos!T13+Datos!AH13))
     ),IF(J_V="SI",(Datos!J13-Datos!T13)/Datos!T13,(Datos!J13+Datos!Z13-(Datos!T13+Datos!AH13))/(Datos!T13+Datos!AH13))," - ")</f>
        <v>9.2607636068237201E-2</v>
      </c>
      <c r="D13" s="855">
        <f>IF(ISNUMBER(
   IF(J_V="SI",(Datos!K13-Datos!U13)/Datos!U13,(Datos!K13+Datos!AA13-(Datos!U13+Datos!AI13))/(Datos!U13+Datos!AI13))
     ),IF(J_V="SI",(Datos!K13-Datos!U13)/Datos!U13,(Datos!K13+Datos!AA13-(Datos!U13+Datos!AI13))/(Datos!U13+Datos!AI13))," - ")</f>
        <v>0.51174934725848564</v>
      </c>
      <c r="E13" s="855">
        <f>IF(ISNUMBER(
   IF(J_V="SI",(Datos!L13-Datos!V13)/Datos!V13,(Datos!L13+Datos!AB13-(Datos!V13+Datos!AJ13))/(Datos!V13+Datos!AJ13))
     ),IF(J_V="SI",(Datos!L13-Datos!V13)/Datos!V13,(Datos!L13+Datos!AB13-(Datos!V13+Datos!AJ13))/(Datos!V13+Datos!AJ13))," - ")</f>
        <v>0.13076923076923078</v>
      </c>
      <c r="F13" s="856">
        <f>IF(ISNUMBER((Datos!M13-Datos!W13)/Datos!W13),(Datos!M13-Datos!W13)/Datos!W13," - ")</f>
        <v>0.26495726495726496</v>
      </c>
      <c r="G13" s="857">
        <f>IF(ISNUMBER((Datos!N13-Datos!X13)/Datos!X13),(Datos!N13-Datos!X13)/Datos!X13," - ")</f>
        <v>0.94117647058823528</v>
      </c>
      <c r="H13" s="857">
        <f>IF(ISNUMBER(((NºAsuntos!G13/NºAsuntos!E13)-Datos!BD13)/Datos!BD13),((NºAsuntos!G13/NºAsuntos!E13)-Datos!BD13)/Datos!BD13," - ")</f>
        <v>0.38361594533471793</v>
      </c>
      <c r="I13" s="857">
        <f>IF(ISNUMBER(((NºAsuntos!I13/NºAsuntos!G13)-Datos!BE13)/Datos!BE13),((NºAsuntos!I13/NºAsuntos!G13)-Datos!BE13)/Datos!BE13," - ")</f>
        <v>-0.25201275408529283</v>
      </c>
      <c r="J13" s="857">
        <f>IF(ISNUMBER((('Resol  Asuntos'!D13/NºAsuntos!G13)-Datos!BF13)/Datos!BF13),(('Resol  Asuntos'!D13/NºAsuntos!G13)-Datos!BF13)/Datos!BF13," - ")</f>
        <v>-0.25267307413413492</v>
      </c>
      <c r="K13" s="857">
        <f>IF(ISNUMBER((((NºAsuntos!C13+NºAsuntos!E13)/NºAsuntos!G13)-Datos!BG13)/Datos!BG13),(((NºAsuntos!C13+NºAsuntos!E13)/NºAsuntos!G13)-Datos!BG13)/Datos!BG13," - ")</f>
        <v>-0.16410666591164336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0.80508474576271183</v>
      </c>
      <c r="C16" s="456">
        <f>IF(ISNUMBER(
   IF(D_I="SI",(Datos!J16-Datos!T16)/Datos!T16,(Datos!J16+Datos!AD16-(Datos!T16+Datos!AL16))/(Datos!T16+Datos!AL16))
     ),IF(D_I="SI",(Datos!J16-Datos!T16)/Datos!T16,(Datos!J16+Datos!AD16-(Datos!T16+Datos!AL16))/(Datos!T16+Datos!AL16))," - ")</f>
        <v>-1.2909632571996028E-2</v>
      </c>
      <c r="D16" s="456">
        <f>IF(ISNUMBER(
   IF(D_I="SI",(Datos!K16-Datos!U16)/Datos!U16,(Datos!K16+Datos!AE16-(Datos!U16+Datos!AM16))/(Datos!U16+Datos!AM16))
     ),IF(D_I="SI",(Datos!K16-Datos!U16)/Datos!U16,(Datos!K16+Datos!AE16-(Datos!U16+Datos!AM16))/(Datos!U16+Datos!AM16))," - ")</f>
        <v>0.16897506925207756</v>
      </c>
      <c r="E16" s="456">
        <f>IF(ISNUMBER(
   IF(D_I="SI",(Datos!L16-Datos!V16)/Datos!V16,(Datos!L16+Datos!AF16-(Datos!V16+Datos!AN16))/(Datos!V16+Datos!AN16))
     ),IF(D_I="SI",(Datos!L16-Datos!V16)/Datos!V16,(Datos!L16+Datos!AF16-(Datos!V16+Datos!AN16))/(Datos!V16+Datos!AN16))," - ")</f>
        <v>0.23474178403755869</v>
      </c>
      <c r="F16" s="456">
        <f>IF(ISNUMBER((Datos!M16-Datos!W16)/Datos!W16),(Datos!M16-Datos!W16)/Datos!W16," - ")</f>
        <v>0.51063829787234039</v>
      </c>
      <c r="G16" s="457">
        <f>IF(ISNUMBER((Datos!N16-Datos!X16)/Datos!X16),(Datos!N16-Datos!X16)/Datos!X16," - ")</f>
        <v>0.21153846153846154</v>
      </c>
      <c r="H16" s="455">
        <f>IF(ISNUMBER(((NºAsuntos!G16/NºAsuntos!E16)-Datos!BD16)/Datos!BD16),((NºAsuntos!G16/NºAsuntos!E16)-Datos!BD16)/Datos!BD16," - ")</f>
        <v>0.1842634755903845</v>
      </c>
      <c r="I16" s="456">
        <f>IF(ISNUMBER(((NºAsuntos!I16/NºAsuntos!G16)-Datos!BE16)/Datos!BE16),((NºAsuntos!I16/NºAsuntos!G16)-Datos!BE16)/Datos!BE16," - ")</f>
        <v>5.6260151747769438E-2</v>
      </c>
      <c r="J16" s="461">
        <f>IF(ISNUMBER((('Resol  Asuntos'!D16/NºAsuntos!G16)-Datos!BF16)/Datos!BF16),(('Resol  Asuntos'!D16/NºAsuntos!G16)-Datos!BF16)/Datos!BF16," - ")</f>
        <v>0.29227588988605441</v>
      </c>
      <c r="K16" s="462">
        <f>IF(ISNUMBER((((NºAsuntos!C16+NºAsuntos!E16)/NºAsuntos!G16)-Datos!BG16)/Datos!BG16),(((NºAsuntos!C16+NºAsuntos!E16)/NºAsuntos!G16)-Datos!BG16)/Datos!BG16," - ")</f>
        <v>2.6414575287894627E-2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1.1212121212121211</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0.7857142857142857</v>
      </c>
      <c r="E17" s="456">
        <f>IF(ISNUMBER(
   IF(D_I="SI",(Datos!L17-Datos!V17)/Datos!V17,(Datos!L17+Datos!AF17-(Datos!V17+Datos!AN17))/(Datos!V17+Datos!AN17))
     ),IF(D_I="SI",(Datos!L17-Datos!V17)/Datos!V17,(Datos!L17+Datos!AF17-(Datos!V17+Datos!AN17))/(Datos!V17+Datos!AN17))," - ")</f>
        <v>2.8571428571428571E-2</v>
      </c>
      <c r="F17" s="456">
        <f>IF(ISNUMBER((Datos!M17-Datos!W17)/Datos!W17),(Datos!M17-Datos!W17)/Datos!W17," - ")</f>
        <v>1.3333333333333333</v>
      </c>
      <c r="G17" s="457">
        <f>IF(ISNUMBER((Datos!N17-Datos!X17)/Datos!X17),(Datos!N17-Datos!X17)/Datos!X17," - ")</f>
        <v>-3.4482758620689655E-2</v>
      </c>
      <c r="H17" s="455">
        <f>IF(ISNUMBER(((NºAsuntos!G17/NºAsuntos!E17)-Datos!BD17)/Datos!BD17),((NºAsuntos!G17/NºAsuntos!E17)-Datos!BD17)/Datos!BD17," - ")</f>
        <v>1.232142857142857</v>
      </c>
      <c r="I17" s="456">
        <f>IF(ISNUMBER(((NºAsuntos!I17/NºAsuntos!G17)-Datos!BE17)/Datos!BE17),((NºAsuntos!I17/NºAsuntos!G17)-Datos!BE17)/Datos!BE17," - ")</f>
        <v>-0.42400000000000004</v>
      </c>
      <c r="J17" s="461">
        <f>IF(ISNUMBER((('Resol  Asuntos'!D17/NºAsuntos!G17)-Datos!BF17)/Datos!BF17),(('Resol  Asuntos'!D17/NºAsuntos!G17)-Datos!BF17)/Datos!BF17," - ")</f>
        <v>0.30666666666666687</v>
      </c>
      <c r="K17" s="462">
        <f>IF(ISNUMBER((((NºAsuntos!C17+NºAsuntos!E17)/NºAsuntos!G17)-Datos!BG17)/Datos!BG17),(((NºAsuntos!C17+NºAsuntos!E17)/NºAsuntos!G17)-Datos!BG17)/Datos!BG17," - ")</f>
        <v>-0.30285714285714288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0.83204134366925064</v>
      </c>
      <c r="C18" s="855">
        <f>IF(ISNUMBER(
   IF(Criterios!B14="SI",(Datos!J18-Datos!T18)/Datos!T18,(Datos!J18+Datos!AD18-(Datos!T18+Datos!AL18))/(Datos!T18+Datos!AL18))
     ),IF(Criterios!B14="SI",(Datos!J18-Datos!T18)/Datos!T18,(Datos!J18+Datos!AD18-(Datos!T18+Datos!AL18))/(Datos!T18+Datos!AL18))," - ")</f>
        <v>-2.4253731343283583E-2</v>
      </c>
      <c r="D18" s="855">
        <f>IF(ISNUMBER(
   IF(Criterios!B14="SI",(Datos!K18-Datos!U18)/Datos!U18,(Datos!K18+Datos!AE18-(Datos!U18+Datos!AM18))/(Datos!U18+Datos!AM18))
     ),IF(Criterios!B14="SI",(Datos!K18-Datos!U18)/Datos!U18,(Datos!K18+Datos!AE18-(Datos!U18+Datos!AM18))/(Datos!U18+Datos!AM18))," - ")</f>
        <v>0.192</v>
      </c>
      <c r="E18" s="855">
        <f>IF(ISNUMBER(
   IF(Criterios!B14="SI",(Datos!L18-Datos!V18)/Datos!V18,(Datos!L18+Datos!AF18-(Datos!V18+Datos!AN18))/(Datos!V18+Datos!AN18))
     ),IF(Criterios!B14="SI",(Datos!L18-Datos!V18)/Datos!V18,(Datos!L18+Datos!AF18-(Datos!V18+Datos!AN18))/(Datos!V18+Datos!AN18))," - ")</f>
        <v>0.21438645980253879</v>
      </c>
      <c r="F18" s="856">
        <f>IF(ISNUMBER((Datos!M18-Datos!W18)/Datos!W18),(Datos!M18-Datos!W18)/Datos!W18," - ")</f>
        <v>0.52777777777777779</v>
      </c>
      <c r="G18" s="857">
        <f>IF(ISNUMBER((Datos!N18-Datos!X18)/Datos!X18),(Datos!N18-Datos!X18)/Datos!X18," - ")</f>
        <v>0.18143459915611815</v>
      </c>
      <c r="H18" s="857">
        <f>IF(ISNUMBER(((NºAsuntos!G18/NºAsuntos!E18)-Datos!BD18)/Datos!BD18),((NºAsuntos!G18/NºAsuntos!E18)-Datos!BD18)/Datos!BD18," - ")</f>
        <v>0.22162906309751429</v>
      </c>
      <c r="I18" s="857">
        <f>IF(ISNUMBER(((NºAsuntos!I18/NºAsuntos!G18)-Datos!BE18)/Datos!BE18),((NºAsuntos!I18/NºAsuntos!G18)-Datos!BE18)/Datos!BE18," - ")</f>
        <v>1.8780587082666739E-2</v>
      </c>
      <c r="J18" s="857">
        <f>IF(ISNUMBER((('Resol  Asuntos'!D18/NºAsuntos!G18)-Datos!BF18)/Datos!BF18),(('Resol  Asuntos'!D18/NºAsuntos!G18)-Datos!BF18)/Datos!BF18," - ")</f>
        <v>0.28169276659209541</v>
      </c>
      <c r="K18" s="857">
        <f>IF(ISNUMBER((((NºAsuntos!C18+NºAsuntos!E18)/NºAsuntos!G18)-Datos!BG18)/Datos!BG18),(((NºAsuntos!C18+NºAsuntos!E18)/NºAsuntos!G18)-Datos!BG18)/Datos!BG18," - ")</f>
        <v>9.1264127769779303E-3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0.58210059171597628</v>
      </c>
      <c r="C19" s="802">
        <f>IF(ISNUMBER(
   IF(J_V="SI",(Datos!J19-Datos!T19)/Datos!T19,(Datos!J19+Datos!Z19-(Datos!T19+Datos!AH19))/(Datos!T19+Datos!AH19))
     ),IF(J_V="SI",(Datos!J19-Datos!T19)/Datos!T19,(Datos!J19+Datos!Z19-(Datos!T19+Datos!AH19))/(Datos!T19+Datos!AH19))," - ")</f>
        <v>3.8211029092488059E-2</v>
      </c>
      <c r="D19" s="802">
        <f>IF(ISNUMBER(
   IF(J_V="SI",(Datos!K19-Datos!U19)/Datos!U19,(Datos!K19+Datos!AA19-(Datos!U19+Datos!AI19))/(Datos!U19+Datos!AI19))
     ),IF(J_V="SI",(Datos!K19-Datos!U19)/Datos!U19,(Datos!K19+Datos!AA19-(Datos!U19+Datos!AI19))/(Datos!U19+Datos!AI19))," - ")</f>
        <v>0.35356200527704484</v>
      </c>
      <c r="E19" s="802">
        <f>IF(ISNUMBER(
   IF(J_V="SI",(Datos!L19-Datos!V19)/Datos!V19,(Datos!L19+Datos!AB19-(Datos!V19+Datos!AJ19))/(Datos!V19+Datos!AJ19))
     ),IF(J_V="SI",(Datos!L19-Datos!V19)/Datos!V19,(Datos!L19+Datos!AB19-(Datos!V19+Datos!AJ19))/(Datos!V19+Datos!AJ19))," - ")</f>
        <v>0.15848527349228611</v>
      </c>
      <c r="F19" s="803">
        <f>IF(ISNUMBER((Datos!M19-Datos!W19)/Datos!W19),(Datos!M19-Datos!W19)/Datos!W19," - ")</f>
        <v>0.36507936507936506</v>
      </c>
      <c r="G19" s="804">
        <f>IF(ISNUMBER((Datos!N19-Datos!X19)/Datos!X19),(Datos!N19-Datos!X19)/Datos!X19," - ")</f>
        <v>0.44718792866941015</v>
      </c>
      <c r="H19" s="805">
        <f>IF(ISNUMBER((Tasas!B19-Datos!BD19)/Datos!BD19),(Tasas!B19-Datos!BD19)/Datos!BD19," - ")</f>
        <v>0.30374458308366142</v>
      </c>
      <c r="I19" s="806">
        <f>IF(ISNUMBER((Tasas!C19-Datos!BE19)/Datos!BE19),(Tasas!C19-Datos!BE19)/Datos!BE19," - ")</f>
        <v>-0.14412101626983154</v>
      </c>
      <c r="J19" s="807">
        <f>IF(ISNUMBER((Tasas!D19-Datos!BF19)/Datos!BF19),(Tasas!D19-Datos!BF19)/Datos!BF19," - ")</f>
        <v>-6.1043413130527524E-2</v>
      </c>
      <c r="K19" s="807">
        <f>IF(ISNUMBER((Tasas!E19-Datos!BG19)/Datos!BG19),(Tasas!E19-Datos!BG19)/Datos!BG19," - ")</f>
        <v>-8.4343325253397897E-2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Iye5xBFWCchOSWnZrAA1X5e70JmJA9FMi5cVYgRdg0Kt0Z9/JP1q3gv59G488urc7NfWqWtMcCaMhJEr7Mrsw==" saltValue="kYKZ5e0wpapLtyO/9FiH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CORCUBION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3.2857142857142856</v>
      </c>
      <c r="D10" s="444">
        <f>IF(ISNUMBER('Resol  Asuntos'!D10/NºAsuntos!G10),'Resol  Asuntos'!D10/NºAsuntos!G10," - ")</f>
        <v>0.7142857142857143</v>
      </c>
      <c r="E10" s="445">
        <f>IF(ISNUMBER((NºAsuntos!C10+NºAsuntos!E10)/NºAsuntos!G10),(NºAsuntos!C10+NºAsuntos!E10)/NºAsuntos!G10," - ")</f>
        <v>4.2857142857142856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0.86476333583771603</v>
      </c>
      <c r="C12" s="443">
        <f>IF(ISNUMBER(NºAsuntos!I12/NºAsuntos!G12),NºAsuntos!I12/NºAsuntos!G12," - ")</f>
        <v>1.3848827106863597</v>
      </c>
      <c r="D12" s="444">
        <f>IF(ISNUMBER('Resol  Asuntos'!D12/NºAsuntos!G12),'Resol  Asuntos'!D12/NºAsuntos!G12," - ")</f>
        <v>0.25282363162467419</v>
      </c>
      <c r="E12" s="445">
        <f>IF(ISNUMBER((NºAsuntos!C12+NºAsuntos!E12)/NºAsuntos!G12),(NºAsuntos!C12+NºAsuntos!E12)/NºAsuntos!G12," - ")</f>
        <v>2.3848827106863597</v>
      </c>
      <c r="G12" s="463"/>
    </row>
    <row r="13" spans="1:7" ht="14.25" thickTop="1" thickBot="1">
      <c r="A13" s="848" t="str">
        <f>Datos!A13</f>
        <v>TOTAL</v>
      </c>
      <c r="B13" s="858">
        <f>IF(ISNUMBER(NºAsuntos!G13/NºAsuntos!E13),NºAsuntos!G13/NºAsuntos!E13," - ")</f>
        <v>0.86096654275092932</v>
      </c>
      <c r="C13" s="859">
        <f>IF(ISNUMBER(NºAsuntos!I13/NºAsuntos!G13),NºAsuntos!I13/NºAsuntos!G13," - ")</f>
        <v>1.3963730569948187</v>
      </c>
      <c r="D13" s="860">
        <f>IF(ISNUMBER('Resol  Asuntos'!D13/NºAsuntos!G13),'Resol  Asuntos'!D13/NºAsuntos!G13," - ")</f>
        <v>0.25561312607944731</v>
      </c>
      <c r="E13" s="861">
        <f>IF(ISNUMBER((NºAsuntos!C13+NºAsuntos!E13)/NºAsuntos!G13),(NºAsuntos!C13+NºAsuntos!E13)/NºAsuntos!G13," - ")</f>
        <v>2.3963730569948187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0.84909456740442657</v>
      </c>
      <c r="C16" s="443">
        <f>IF(ISNUMBER(NºAsuntos!I16/NºAsuntos!G16),NºAsuntos!I16/NºAsuntos!G16," - ")</f>
        <v>0.93483412322274884</v>
      </c>
      <c r="D16" s="444">
        <f>IF(ISNUMBER('Resol  Asuntos'!D16/NºAsuntos!G16),'Resol  Asuntos'!D16/NºAsuntos!G16," - ")</f>
        <v>0.25236966824644552</v>
      </c>
      <c r="E16" s="445">
        <f>IF(ISNUMBER((NºAsuntos!C16+NºAsuntos!E16)/NºAsuntos!G16),(NºAsuntos!C16+NºAsuntos!E16)/NºAsuntos!G16," - ")</f>
        <v>1.9348341232227488</v>
      </c>
      <c r="G16" s="463"/>
    </row>
    <row r="17" spans="1:7" ht="13.5" thickBot="1">
      <c r="A17" s="402" t="str">
        <f>Datos!A17</f>
        <v>Jdos. Violencia contra la mujer</v>
      </c>
      <c r="B17" s="442">
        <f>IF(ISNUMBER(NºAsuntos!G17/NºAsuntos!E17),NºAsuntos!G17/NºAsuntos!E17," - ")</f>
        <v>0.96153846153846156</v>
      </c>
      <c r="C17" s="443">
        <f>IF(ISNUMBER(NºAsuntos!I17/NºAsuntos!G17),NºAsuntos!I17/NºAsuntos!G17," - ")</f>
        <v>1.44</v>
      </c>
      <c r="D17" s="444">
        <f>IF(ISNUMBER('Resol  Asuntos'!D17/NºAsuntos!G17),'Resol  Asuntos'!D17/NºAsuntos!G17," - ")</f>
        <v>0.14000000000000001</v>
      </c>
      <c r="E17" s="445">
        <f>IF(ISNUMBER((NºAsuntos!C17+NºAsuntos!E17)/NºAsuntos!G17),(NºAsuntos!C17+NºAsuntos!E17)/NºAsuntos!G17," - ")</f>
        <v>2.44</v>
      </c>
      <c r="G17" s="463"/>
    </row>
    <row r="18" spans="1:7" ht="14.25" thickTop="1" thickBot="1">
      <c r="A18" s="848" t="str">
        <f>Datos!A18</f>
        <v>TOTAL</v>
      </c>
      <c r="B18" s="858">
        <f>IF(ISNUMBER(NºAsuntos!G18/NºAsuntos!E18),NºAsuntos!G18/NºAsuntos!E18," - ")</f>
        <v>0.85468451242829824</v>
      </c>
      <c r="C18" s="859">
        <f>IF(ISNUMBER(NºAsuntos!I18/NºAsuntos!G18),NºAsuntos!I18/NºAsuntos!G18," - ")</f>
        <v>0.96308724832214765</v>
      </c>
      <c r="D18" s="862">
        <f>IF(ISNUMBER('Resol  Asuntos'!D18/NºAsuntos!G18),'Resol  Asuntos'!D18/NºAsuntos!G18," - ")</f>
        <v>0.24608501118568232</v>
      </c>
      <c r="E18" s="861">
        <f>IF(ISNUMBER((NºAsuntos!C18+NºAsuntos!E18)/NºAsuntos!G18),(NºAsuntos!C18+NºAsuntos!E18)/NºAsuntos!G18," - ")</f>
        <v>1.9630872483221478</v>
      </c>
      <c r="G18" s="463"/>
    </row>
    <row r="19" spans="1:7" ht="15.75" customHeight="1" thickTop="1" thickBot="1">
      <c r="A19" s="793" t="str">
        <f>Datos!A19</f>
        <v>TOTAL JURISDICCIONES</v>
      </c>
      <c r="B19" s="808">
        <f>IF(ISNUMBER(NºAsuntos!G19/NºAsuntos!E19),NºAsuntos!G19/NºAsuntos!E19," - ")</f>
        <v>0.85821831869510667</v>
      </c>
      <c r="C19" s="809">
        <f>IF(ISNUMBER(NºAsuntos!I19/NºAsuntos!G19),NºAsuntos!I19/NºAsuntos!G19," - ")</f>
        <v>1.2076023391812865</v>
      </c>
      <c r="D19" s="810">
        <f>IF(ISNUMBER('Resol  Asuntos'!D19/NºAsuntos!G19),'Resol  Asuntos'!D19/NºAsuntos!G19," - ")</f>
        <v>0.25146198830409355</v>
      </c>
      <c r="E19" s="811">
        <f>IF(ISNUMBER((NºAsuntos!C19+NºAsuntos!E19)/NºAsuntos!G19),(NºAsuntos!C19+NºAsuntos!E19)/NºAsuntos!G19," - ")</f>
        <v>2.2076023391812867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fTPakruBKm4ZqbdhZ9yuzFObfR5K35zCkou3p11Fz6+egEoOpx3z8/fobb/takeW+BgpJ5LnPeqlJV/oL9Nw==" saltValue="67KbuCQec/+ZhD7ru3Rm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CORCUBION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36.142857142857139</v>
      </c>
      <c r="AN10" s="244">
        <f>IF(ISNUMBER('Resol  Asuntos'!D10/NºAsuntos!G10),'Resol  Asuntos'!D10/NºAsuntos!G10," - ")</f>
        <v>0.7142857142857143</v>
      </c>
      <c r="AO10" s="245">
        <f>IF(ISNUMBER((NºAsuntos!C10+NºAsuntos!E10)/NºAsuntos!G10),(NºAsuntos!C10+NºAsuntos!E10)/NºAsuntos!G10," - ")</f>
        <v>4.2857142857142856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291</v>
      </c>
      <c r="AJ12" s="229" t="str">
        <f>IF(ISNUMBER(Datos!BW12),Datos!BW12," - ")</f>
        <v xml:space="preserve"> - </v>
      </c>
      <c r="AK12" s="228" t="str">
        <f>IF(ISNUMBER(Datos!BX12),Datos!BX12," - ")</f>
        <v xml:space="preserve"> - </v>
      </c>
      <c r="AL12" s="243">
        <f>IF(ISNUMBER(NºAsuntos!G12/NºAsuntos!E12),NºAsuntos!G12/NºAsuntos!E12," - ")</f>
        <v>0.86476333583771603</v>
      </c>
      <c r="AM12" s="260">
        <f>IF(ISNUMBER(((NºAsuntos!I12/NºAsuntos!G12)*11)/factor_trimestre),((NºAsuntos!I12/NºAsuntos!G12)*11)/factor_trimestre," - ")</f>
        <v>15.233709817549958</v>
      </c>
      <c r="AN12" s="244">
        <f>IF(ISNUMBER('Resol  Asuntos'!D12/NºAsuntos!G12),'Resol  Asuntos'!D12/NºAsuntos!G12," - ")</f>
        <v>0.25282363162467419</v>
      </c>
      <c r="AO12" s="245">
        <f>IF(ISNUMBER((NºAsuntos!C12+NºAsuntos!E12)/NºAsuntos!G12),(NºAsuntos!C12+NºAsuntos!E12)/NºAsuntos!G12," - ")</f>
        <v>2.3848827106863597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116</v>
      </c>
      <c r="Y13" s="868">
        <f t="shared" si="4"/>
        <v>123</v>
      </c>
      <c r="Z13" s="868">
        <f t="shared" si="4"/>
        <v>0</v>
      </c>
      <c r="AA13" s="868">
        <f t="shared" si="4"/>
        <v>23</v>
      </c>
      <c r="AB13" s="868">
        <f t="shared" si="4"/>
        <v>735</v>
      </c>
      <c r="AC13" s="868">
        <f t="shared" si="4"/>
        <v>24</v>
      </c>
      <c r="AD13" s="868">
        <f t="shared" si="4"/>
        <v>0</v>
      </c>
      <c r="AE13" s="872">
        <f t="shared" si="4"/>
        <v>0</v>
      </c>
      <c r="AF13" s="865">
        <f t="shared" si="4"/>
        <v>0</v>
      </c>
      <c r="AG13" s="873">
        <f t="shared" si="4"/>
        <v>0</v>
      </c>
      <c r="AH13" s="870">
        <f t="shared" si="4"/>
        <v>0</v>
      </c>
      <c r="AI13" s="865">
        <f t="shared" si="4"/>
        <v>296</v>
      </c>
      <c r="AJ13" s="867">
        <f t="shared" si="4"/>
        <v>0</v>
      </c>
      <c r="AK13" s="870">
        <f>SUBTOTAL(9,AK9:AK12)</f>
        <v>0</v>
      </c>
      <c r="AL13" s="874">
        <f>IF(ISNUMBER(NºAsuntos!G13/NºAsuntos!E13),NºAsuntos!G13/NºAsuntos!E13," - ")</f>
        <v>0.86096654275092932</v>
      </c>
      <c r="AM13" s="874">
        <f>IF(ISNUMBER(((NºAsuntos!I13/NºAsuntos!G13)*11)/factor_trimestre),((NºAsuntos!I13/NºAsuntos!G13)*11)/factor_trimestre," - ")</f>
        <v>15.360103626943006</v>
      </c>
      <c r="AN13" s="875">
        <f>IF(ISNUMBER('Resol  Asuntos'!D13/NºAsuntos!G13),'Resol  Asuntos'!D13/NºAsuntos!G13," - ")</f>
        <v>0.25561312607944731</v>
      </c>
      <c r="AO13" s="876">
        <f>IF(ISNUMBER((NºAsuntos!C13+NºAsuntos!E13)/NºAsuntos!G13),(NºAsuntos!C13+NºAsuntos!E13)/NºAsuntos!G13," - ")</f>
        <v>2.3963730569948187</v>
      </c>
      <c r="AP13" s="877" t="str">
        <f t="shared" si="2"/>
        <v xml:space="preserve"> - </v>
      </c>
      <c r="AQ13" s="877">
        <f>IF(ISNUMBER((H13-W13+K13)/(F13)),(H13-W13+K13)/(F13)," - ")</f>
        <v>-0.4375</v>
      </c>
      <c r="AR13" s="878">
        <f>IF(ISNUMBER((Datos!P13-Datos!Q13)/(Datos!R13-Datos!P13+Datos!Q13)),(Datos!P13-Datos!Q13)/(Datos!R13-Datos!P13+Datos!Q13)," - ")</f>
        <v>0.17038216560509553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639</v>
      </c>
      <c r="G16" s="333">
        <f>IF(ISNUMBER(IF(D_I="SI",Datos!I16,Datos!I16+Datos!AC16)),IF(D_I="SI",Datos!I16,Datos!I16+Datos!AC16)," - ")</f>
        <v>639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844</v>
      </c>
      <c r="X16" s="226">
        <f>IF(ISNUMBER(Datos!Q16),Datos!Q16," - ")</f>
        <v>20</v>
      </c>
      <c r="Y16" s="334">
        <f t="shared" ref="Y16:Y17" si="7">SUM(W16:X16)</f>
        <v>864</v>
      </c>
      <c r="Z16" s="335" t="str">
        <f>IF(ISNUMBER(Datos!CC16),Datos!CC16," - ")</f>
        <v xml:space="preserve"> - </v>
      </c>
      <c r="AA16" s="332">
        <f>IF(ISNUMBER(IF(D_I="SI",Datos!L16,Datos!L16+Datos!AF16)),IF(D_I="SI",Datos!L16,Datos!L16+Datos!AF16)," - ")</f>
        <v>789</v>
      </c>
      <c r="AB16" s="334">
        <f>IF(ISNUMBER(Datos!R16),Datos!R16," - ")</f>
        <v>72</v>
      </c>
      <c r="AC16" s="334">
        <f t="shared" si="6"/>
        <v>861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213</v>
      </c>
      <c r="AJ16" s="231" t="str">
        <f>IF(ISNUMBER(Datos!BW16),Datos!BW16," - ")</f>
        <v xml:space="preserve"> - </v>
      </c>
      <c r="AK16" s="232" t="str">
        <f>IF(ISNUMBER(Datos!BX16),Datos!BX16," - ")</f>
        <v xml:space="preserve"> - </v>
      </c>
      <c r="AL16" s="243">
        <f>IF(ISNUMBER(NºAsuntos!G16/NºAsuntos!E16),NºAsuntos!G16/NºAsuntos!E16," - ")</f>
        <v>0.84909456740442657</v>
      </c>
      <c r="AM16" s="260">
        <f>IF(ISNUMBER(((NºAsuntos!I16/NºAsuntos!G16)*11)/factor_trimestre),((NºAsuntos!I16/NºAsuntos!G16)*11)/factor_trimestre," - ")</f>
        <v>10.283175355450236</v>
      </c>
      <c r="AN16" s="244">
        <f>IF(ISNUMBER('Resol  Asuntos'!D16/NºAsuntos!G16),'Resol  Asuntos'!D16/NºAsuntos!G16," - ")</f>
        <v>0.25236966824644552</v>
      </c>
      <c r="AO16" s="245">
        <f>IF(ISNUMBER((NºAsuntos!C16+NºAsuntos!E16)/NºAsuntos!G16),(NºAsuntos!C16+NºAsuntos!E16)/NºAsuntos!G16," - ")</f>
        <v>1.9348341232227488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72</v>
      </c>
      <c r="AB17" s="334">
        <f>IF(ISNUMBER(Datos!R17),Datos!R17," - ")</f>
        <v>1</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0.96153846153846156</v>
      </c>
      <c r="AM17" s="260">
        <f>IF(ISNUMBER(((NºAsuntos!I17/NºAsuntos!G17)*11)/factor_trimestre),((NºAsuntos!I17/NºAsuntos!G17)*11)/factor_trimestre," - ")</f>
        <v>15.84</v>
      </c>
      <c r="AN17" s="244">
        <f>IF(ISNUMBER('Resol  Asuntos'!D17/NºAsuntos!G17),'Resol  Asuntos'!D17/NºAsuntos!G17," - ")</f>
        <v>0.14000000000000001</v>
      </c>
      <c r="AO17" s="245">
        <f>IF(ISNUMBER((NºAsuntos!C17+NºAsuntos!E17)/NºAsuntos!G17),(NºAsuntos!C17+NºAsuntos!E17)/NºAsuntos!G17," - ")</f>
        <v>2.44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639</v>
      </c>
      <c r="G18" s="866">
        <f>SUBTOTAL(9,G15:G17)</f>
        <v>709</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894</v>
      </c>
      <c r="X18" s="867">
        <f t="shared" si="11"/>
        <v>20</v>
      </c>
      <c r="Y18" s="868">
        <f t="shared" si="11"/>
        <v>914</v>
      </c>
      <c r="Z18" s="868">
        <f t="shared" si="11"/>
        <v>0</v>
      </c>
      <c r="AA18" s="868">
        <f t="shared" si="11"/>
        <v>861</v>
      </c>
      <c r="AB18" s="868">
        <f t="shared" si="11"/>
        <v>73</v>
      </c>
      <c r="AC18" s="868">
        <f t="shared" si="11"/>
        <v>934</v>
      </c>
      <c r="AD18" s="868">
        <f t="shared" si="11"/>
        <v>0</v>
      </c>
      <c r="AE18" s="872">
        <f t="shared" si="11"/>
        <v>0</v>
      </c>
      <c r="AF18" s="865">
        <f t="shared" si="11"/>
        <v>0</v>
      </c>
      <c r="AG18" s="873">
        <f t="shared" si="11"/>
        <v>0</v>
      </c>
      <c r="AH18" s="870">
        <f t="shared" si="11"/>
        <v>0</v>
      </c>
      <c r="AI18" s="865">
        <f t="shared" si="11"/>
        <v>220</v>
      </c>
      <c r="AJ18" s="867">
        <f t="shared" si="11"/>
        <v>0</v>
      </c>
      <c r="AK18" s="870">
        <f t="shared" si="11"/>
        <v>0</v>
      </c>
      <c r="AL18" s="874">
        <f>IF(ISNUMBER(NºAsuntos!G18/NºAsuntos!E18),NºAsuntos!G18/NºAsuntos!E18," - ")</f>
        <v>0.85468451242829824</v>
      </c>
      <c r="AM18" s="874">
        <f>IF(ISNUMBER(((NºAsuntos!I18/NºAsuntos!G18)*11)/factor_trimestre),((NºAsuntos!I18/NºAsuntos!G18)*11)/factor_trimestre," - ")</f>
        <v>10.593959731543624</v>
      </c>
      <c r="AN18" s="875">
        <f>IF(ISNUMBER('Resol  Asuntos'!D18/NºAsuntos!G18),'Resol  Asuntos'!D18/NºAsuntos!G18," - ")</f>
        <v>0.24608501118568232</v>
      </c>
      <c r="AO18" s="876">
        <f>IF(ISNUMBER((NºAsuntos!C18+NºAsuntos!E18)/NºAsuntos!G18),(NºAsuntos!C18+NºAsuntos!E18)/NºAsuntos!G18," - ")</f>
        <v>1.9630872483221478</v>
      </c>
      <c r="AP18" s="877" t="str">
        <f t="shared" si="2"/>
        <v xml:space="preserve"> - </v>
      </c>
      <c r="AQ18" s="877">
        <f>IF(ISNUMBER((H18-W18+K18)/(F18)),(H18-W18+K18)/(F18)," - ")</f>
        <v>-1.3990610328638498</v>
      </c>
      <c r="AR18" s="878">
        <f>IF(ISNUMBER((Datos!P18-Datos!Q18)/(Datos!R18-Datos!P18+Datos!Q18)),(Datos!P18-Datos!Q18)/(Datos!R18-Datos!P18+Datos!Q18)," - ")</f>
        <v>0.140625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655</v>
      </c>
      <c r="G19" s="821">
        <f t="shared" si="13"/>
        <v>725</v>
      </c>
      <c r="H19" s="820">
        <f t="shared" si="13"/>
        <v>0</v>
      </c>
      <c r="I19" s="822">
        <f t="shared" si="13"/>
        <v>0</v>
      </c>
      <c r="J19" s="822">
        <f t="shared" si="13"/>
        <v>0</v>
      </c>
      <c r="K19" s="881">
        <f t="shared" si="13"/>
        <v>0</v>
      </c>
      <c r="L19" s="822">
        <f t="shared" si="13"/>
        <v>252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901</v>
      </c>
      <c r="X19" s="821">
        <f t="shared" si="14"/>
        <v>136</v>
      </c>
      <c r="Y19" s="828">
        <f t="shared" si="14"/>
        <v>1037</v>
      </c>
      <c r="Z19" s="828">
        <f t="shared" si="14"/>
        <v>0</v>
      </c>
      <c r="AA19" s="828">
        <f t="shared" si="14"/>
        <v>884</v>
      </c>
      <c r="AB19" s="828">
        <f t="shared" si="14"/>
        <v>808</v>
      </c>
      <c r="AC19" s="828">
        <f t="shared" si="14"/>
        <v>958</v>
      </c>
      <c r="AD19" s="828">
        <f t="shared" si="14"/>
        <v>0</v>
      </c>
      <c r="AE19" s="830">
        <f t="shared" si="14"/>
        <v>0</v>
      </c>
      <c r="AF19" s="831">
        <f t="shared" si="14"/>
        <v>0</v>
      </c>
      <c r="AG19" s="832">
        <f t="shared" si="14"/>
        <v>0</v>
      </c>
      <c r="AH19" s="830">
        <f t="shared" si="14"/>
        <v>0</v>
      </c>
      <c r="AI19" s="820">
        <f t="shared" si="14"/>
        <v>516</v>
      </c>
      <c r="AJ19" s="820">
        <f t="shared" si="14"/>
        <v>0</v>
      </c>
      <c r="AK19" s="830">
        <f t="shared" si="14"/>
        <v>0</v>
      </c>
      <c r="AL19" s="884">
        <f>IF(ISNUMBER(NºAsuntos!G19/NºAsuntos!E19),NºAsuntos!G19/NºAsuntos!E19," - ")</f>
        <v>0.85821831869510667</v>
      </c>
      <c r="AM19" s="885">
        <f>IF(ISNUMBER(((NºAsuntos!I19/NºAsuntos!G19)*11)/factor_trimestre),((NºAsuntos!I19/NºAsuntos!G19)*11)/factor_trimestre," - ")</f>
        <v>13.283625730994151</v>
      </c>
      <c r="AN19" s="885">
        <f>IF(ISNUMBER('Resol  Asuntos'!D19/NºAsuntos!G19),'Resol  Asuntos'!D19/NºAsuntos!G19," - ")</f>
        <v>0.25146198830409355</v>
      </c>
      <c r="AO19" s="886">
        <f>IF(ISNUMBER((NºAsuntos!C19+NºAsuntos!E19)/NºAsuntos!G19),(NºAsuntos!C19+NºAsuntos!E19)/NºAsuntos!G19," - ")</f>
        <v>2.2076023391812867</v>
      </c>
      <c r="AP19" s="887" t="str">
        <f t="shared" si="2"/>
        <v xml:space="preserve"> - </v>
      </c>
      <c r="AQ19" s="888">
        <f>IF(OR(ISNUMBER(FIND("01",Criterios!A8,1)),ISNUMBER(FIND("02",Criterios!A8,1)),ISNUMBER(FIND("03",Criterios!A8,1)),ISNUMBER(FIND("04",Criterios!A8,1))),(I19-W19+K19)/(F19-K19),(H19-W19+K19)/(F19-K19))</f>
        <v>-1.3755725190839694</v>
      </c>
      <c r="AR19" s="889">
        <f>IF(ISNUMBER((Datos!P19-Datos!Q19)/(Datos!R19-Datos!P19+Datos!Q19)),(Datos!P19-Datos!Q19)/(Datos!R19-Datos!P19+Datos!Q19)," - ")</f>
        <v>0.16763005780346821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359.68921770513685</v>
      </c>
      <c r="G21" s="253">
        <f>IF(ISNUMBER(STDEV(G8:G18)),STDEV(G8:G18),"-")</f>
        <v>352.1058079611866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464.95408375451439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133.14353157401226</v>
      </c>
      <c r="AJ21" s="252">
        <f t="shared" si="18"/>
        <v>0</v>
      </c>
      <c r="AK21" s="254">
        <f t="shared" si="18"/>
        <v>0</v>
      </c>
      <c r="AL21" s="249">
        <f t="shared" si="18"/>
        <v>0.16001559334096344</v>
      </c>
      <c r="AM21" s="250">
        <f t="shared" si="18"/>
        <v>9.5854519711043835</v>
      </c>
      <c r="AN21" s="250">
        <f t="shared" si="18"/>
        <v>0.20296805557354675</v>
      </c>
      <c r="AO21" s="251">
        <f t="shared" si="18"/>
        <v>0.87140472464585395</v>
      </c>
      <c r="AP21" s="291" t="str">
        <f t="shared" si="18"/>
        <v>-</v>
      </c>
      <c r="AQ21" s="292">
        <f t="shared" si="18"/>
        <v>0.67992632686276888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iFLRJFiOcpC+JG5N+qwlxJDYhlw3aDPPWkIIwAjY1dc8s7EtL1qlqBMLClQIaC+CDPz/hOwoafqjpxlLxIgReA==" saltValue="4bU/mAMMUY7eOb0h2IqL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CORCUBION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-6.6666666666666666E-2</v>
      </c>
      <c r="F10" s="348">
        <f>IF(ISNUMBER((Datos!K10-Datos!U10)/Datos!U10),(Datos!K10-Datos!U10)/Datos!U10," - ")</f>
        <v>-0.125</v>
      </c>
      <c r="G10" s="349">
        <f>IF(ISNUMBER((Datos!L10-Datos!V10)/Datos!V10),(Datos!L10-Datos!V10)/Datos!V10," - ")</f>
        <v>0.4375</v>
      </c>
      <c r="H10" s="230">
        <f>IF(ISNUMBER((Datos!M10-Datos!W10)/Datos!W10),(Datos!M10-Datos!W10)/Datos!W10," - ")</f>
        <v>-0.2857142857142857</v>
      </c>
      <c r="I10" s="350">
        <f>IF(ISNUMBER((Tasas!C10-Datos!BE10)/Datos!BE10),(Tasas!C10-Datos!BE10)/Datos!BE10," - ")</f>
        <v>0.64285714285714279</v>
      </c>
      <c r="J10" s="349">
        <f>IF(ISNUMBER((Tasas!D10-Datos!BF10)/Datos!BF10),(Tasas!D10-Datos!BF10)/Datos!BF10," - ")</f>
        <v>-0.18367346938775508</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0.28193832599118945</v>
      </c>
      <c r="I12" s="350">
        <f>IF(ISNUMBER((Tasas!C12-Datos!BE12)/Datos!BE12),(Tasas!C12-Datos!BE12)/Datos!BE12," - ")</f>
        <v>-0.25760884391777888</v>
      </c>
      <c r="J12" s="349">
        <f>IF(ISNUMBER((Tasas!D12-Datos!BF12)/Datos!BF12),(Tasas!D12-Datos!BF12)/Datos!BF12," - ")</f>
        <v>-0.24846936168038031</v>
      </c>
      <c r="K12" s="351">
        <f>IF(ISNUMBER((Tasas!E12-Datos!BG12)/Datos!BG12),(Tasas!E12-Datos!BG12)/Datos!BG12," - ")</f>
        <v>-0.16770667831479719</v>
      </c>
      <c r="M12" t="e">
        <f>IF(Monitorios="SI",Datos!CE12,0)</f>
        <v>#REF!</v>
      </c>
      <c r="N12" t="e">
        <f>IF(Monitorios="SI",Datos!CF12,0)</f>
        <v>#REF!</v>
      </c>
      <c r="O12" t="e">
        <f>IF(Monitorios="SI",Datos!CG12,0)</f>
        <v>#REF!</v>
      </c>
      <c r="P12" t="e">
        <f>IF(Monitorios="SI",Datos!CH12,0)</f>
        <v>#REF!</v>
      </c>
      <c r="Q12">
        <f>IF(J_V="SI",0,Datos!AG12)</f>
        <v>46</v>
      </c>
      <c r="R12">
        <f>IF(J_V="SI",0,Datos!AH12)</f>
        <v>112</v>
      </c>
      <c r="S12">
        <f>IF(J_V="SI",0,Datos!AI12)</f>
        <v>115</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0.26495726495726496</v>
      </c>
      <c r="I13" s="357">
        <f>IF(ISNUMBER((Tasas!C13-Datos!BE13)/Datos!BE13),(Tasas!C13-Datos!BE13)/Datos!BE13," - ")</f>
        <v>-0.25201275408529283</v>
      </c>
      <c r="J13" s="355">
        <f>IF(ISNUMBER((Tasas!D13-Datos!BF13)/Datos!BF13),(Tasas!D13-Datos!BF13)/Datos!BF13," - ")</f>
        <v>-0.25267307413413492</v>
      </c>
      <c r="K13" s="358">
        <f>IF(ISNUMBER((Tasas!E13-Datos!BG13)/Datos!BG13),(Tasas!E13-Datos!BG13)/Datos!BG13," - ")</f>
        <v>-0.16410666591164336</v>
      </c>
      <c r="M13" t="e">
        <f>IF(Monitorios="SI",Datos!CE13,0)</f>
        <v>#REF!</v>
      </c>
      <c r="N13" t="e">
        <f>IF(Monitorios="SI",Datos!CF13,0)</f>
        <v>#REF!</v>
      </c>
      <c r="O13" t="e">
        <f>IF(Monitorios="SI",Datos!CG13,0)</f>
        <v>#REF!</v>
      </c>
      <c r="P13" t="e">
        <f>IF(Monitorios="SI",Datos!CH13,0)</f>
        <v>#REF!</v>
      </c>
      <c r="Q13">
        <f>IF(J_V="SI",0,Datos!AG13)</f>
        <v>46</v>
      </c>
      <c r="R13">
        <f>IF(J_V="SI",0,Datos!AH13)</f>
        <v>112</v>
      </c>
      <c r="S13">
        <f>IF(J_V="SI",0,Datos!AI13)</f>
        <v>115</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0.80508474576271183</v>
      </c>
      <c r="E16" s="348">
        <f>IF(ISNUMBER(
   IF(D_I="SI",(Datos!J16-Datos!T16)/Datos!T16,(Datos!J16+Datos!AD16-(Datos!T16+Datos!AL16))/(Datos!T16+Datos!AL16))
     ),IF(D_I="SI",(Datos!J16-Datos!T16)/Datos!T16,(Datos!J16+Datos!AD16-(Datos!T16+Datos!AL16))/(Datos!T16+Datos!AL16))," - ")</f>
        <v>-1.2909632571996028E-2</v>
      </c>
      <c r="F16" s="348">
        <f>IF(ISNUMBER(
   IF(D_I="SI",(Datos!K16-Datos!U16)/Datos!U16,(Datos!K16+Datos!AE16-(Datos!U16+Datos!AM16))/(Datos!U16+Datos!AM16))
     ),IF(D_I="SI",(Datos!K16-Datos!U16)/Datos!U16,(Datos!K16+Datos!AE16-(Datos!U16+Datos!AM16))/(Datos!U16+Datos!AM16))," - ")</f>
        <v>0.16897506925207756</v>
      </c>
      <c r="G16" s="349">
        <f>IF(ISNUMBER(
   IF(D_I="SI",(Datos!L16-Datos!V16)/Datos!V16,(Datos!L16+Datos!AF16-(Datos!V16+Datos!AN16))/(Datos!V16+Datos!AN16))
     ),IF(D_I="SI",(Datos!L16-Datos!V16)/Datos!V16,(Datos!L16+Datos!AF16-(Datos!V16+Datos!AN16))/(Datos!V16+Datos!AN16))," - ")</f>
        <v>0.23474178403755869</v>
      </c>
      <c r="H16" s="230">
        <f>IF(ISNUMBER((Datos!M16-Datos!W16)/Datos!W16),(Datos!M16-Datos!W16)/Datos!W16," - ")</f>
        <v>0.51063829787234039</v>
      </c>
      <c r="I16" s="350">
        <f>IF(ISNUMBER((Tasas!C16-Datos!BE16)/Datos!BE16),(Tasas!C16-Datos!BE16)/Datos!BE16," - ")</f>
        <v>5.6260151747769438E-2</v>
      </c>
      <c r="J16" s="349">
        <f>IF(ISNUMBER((Tasas!D16-Datos!BF16)/Datos!BF16),(Tasas!D16-Datos!BF16)/Datos!BF16," - ")</f>
        <v>0.29227588988605441</v>
      </c>
      <c r="K16" s="351">
        <f>IF(ISNUMBER((Tasas!E16-Datos!BG16)/Datos!BG16),(Tasas!E16-Datos!BG16)/Datos!BG16," - ")</f>
        <v>2.6414575287894627E-2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1.1212121212121211</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0.7857142857142857</v>
      </c>
      <c r="G17" s="349">
        <f>IF(ISNUMBER(
   IF(D_I="SI",(Datos!L17-Datos!V17)/Datos!V17,(Datos!L17+Datos!AF17-(Datos!V17+Datos!AN17))/(Datos!V17+Datos!AN17))
     ),IF(D_I="SI",(Datos!L17-Datos!V17)/Datos!V17,(Datos!L17+Datos!AF17-(Datos!V17+Datos!AN17))/(Datos!V17+Datos!AN17))," - ")</f>
        <v>2.8571428571428571E-2</v>
      </c>
      <c r="H17" s="230">
        <f>IF(ISNUMBER((Datos!M17-Datos!W17)/Datos!W17),(Datos!M17-Datos!W17)/Datos!W17," - ")</f>
        <v>1.3333333333333333</v>
      </c>
      <c r="I17" s="350">
        <f>IF(ISNUMBER((Tasas!C17-Datos!BE17)/Datos!BE17),(Tasas!C17-Datos!BE17)/Datos!BE17," - ")</f>
        <v>-0.42400000000000004</v>
      </c>
      <c r="J17" s="349">
        <f>IF(ISNUMBER((Tasas!D17-Datos!BF17)/Datos!BF17),(Tasas!D17-Datos!BF17)/Datos!BF17," - ")</f>
        <v>0.30666666666666687</v>
      </c>
      <c r="K17" s="351">
        <f>IF(ISNUMBER((Tasas!E17-Datos!BG17)/Datos!BG17),(Tasas!E17-Datos!BG17)/Datos!BG17," - ")</f>
        <v>-0.30285714285714288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0.83204134366925064</v>
      </c>
      <c r="E18" s="354">
        <f>IF(ISNUMBER(
   IF(D_I="SI",(Datos!J18-Datos!T18)/Datos!T18,(Datos!J18+Datos!AD18-(Datos!T18+Datos!AL18))/(Datos!T18+Datos!AL18))
     ),IF(D_I="SI",(Datos!J18-Datos!T18)/Datos!T18,(Datos!J18+Datos!AD18-(Datos!T18+Datos!AL18))/(Datos!T18+Datos!AL18))," - ")</f>
        <v>-2.4253731343283583E-2</v>
      </c>
      <c r="F18" s="354">
        <f>IF(ISNUMBER(
   IF(D_I="SI",(Datos!K18-Datos!U18)/Datos!U18,(Datos!K18+Datos!AE18-(Datos!U18+Datos!AM18))/(Datos!U18+Datos!AM18))
     ),IF(D_I="SI",(Datos!K18-Datos!U18)/Datos!U18,(Datos!K18+Datos!AE18-(Datos!U18+Datos!AM18))/(Datos!U18+Datos!AM18))," - ")</f>
        <v>0.192</v>
      </c>
      <c r="G18" s="355">
        <f>IF(ISNUMBER(
   IF(D_I="SI",(Datos!L18-Datos!V18)/Datos!V18,(Datos!L18+Datos!AF18-(Datos!V18+Datos!AN18))/(Datos!V18+Datos!AN18))
     ),IF(D_I="SI",(Datos!L18-Datos!V18)/Datos!V18,(Datos!L18+Datos!AF18-(Datos!V18+Datos!AN18))/(Datos!V18+Datos!AN18))," - ")</f>
        <v>0.21438645980253879</v>
      </c>
      <c r="H18" s="356">
        <f>IF(ISNUMBER((Datos!M18-Datos!W18)/Datos!W18),(Datos!M18-Datos!W18)/Datos!W18," - ")</f>
        <v>0.52777777777777779</v>
      </c>
      <c r="I18" s="357">
        <f>IF(ISNUMBER((Tasas!C18-Datos!BE18)/Datos!BE18),(Tasas!C18-Datos!BE18)/Datos!BE18," - ")</f>
        <v>1.8780587082666739E-2</v>
      </c>
      <c r="J18" s="355">
        <f>IF(ISNUMBER((Tasas!D18-Datos!BF18)/Datos!BF18),(Tasas!D18-Datos!BF18)/Datos!BF18," - ")</f>
        <v>0.28169276659209541</v>
      </c>
      <c r="K18" s="358">
        <f>IF(ISNUMBER((Tasas!E18-Datos!BG18)/Datos!BG18),(Tasas!E18-Datos!BG18)/Datos!BG18," - ")</f>
        <v>9.1264127769779303E-3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0.58210059171597628</v>
      </c>
      <c r="E19" s="363">
        <f>IF(ISNUMBER(
   IF(J_V="SI",(Datos!J19-Datos!T19)/Datos!T19,(Datos!J19+Datos!Z19-(Datos!T19+Datos!AH19))/(Datos!T19+Datos!AH19))
     ),IF(J_V="SI",(Datos!J19-Datos!T19)/Datos!T19,(Datos!J19+Datos!Z19-(Datos!T19+Datos!AH19))/(Datos!T19+Datos!AH19))," - ")</f>
        <v>3.8211029092488059E-2</v>
      </c>
      <c r="F19" s="363">
        <f>IF(ISNUMBER(
   IF(J_V="SI",(Datos!K19-Datos!U19)/Datos!U19,(Datos!K19+Datos!AA19-(Datos!U19+Datos!AI19))/(Datos!U19+Datos!AI19))
     ),IF(J_V="SI",(Datos!K19-Datos!U19)/Datos!U19,(Datos!K19+Datos!AA19-(Datos!U19+Datos!AI19))/(Datos!U19+Datos!AI19))," - ")</f>
        <v>0.35356200527704484</v>
      </c>
      <c r="G19" s="364">
        <f>IF(ISNUMBER(
   IF(J_V="SI",(Datos!L19-Datos!V19)/Datos!V19,(Datos!L19+Datos!AB19-(Datos!V19+Datos!AJ19))/(Datos!V19+Datos!AJ19))
     ),IF(J_V="SI",(Datos!L19-Datos!V19)/Datos!V19,(Datos!L19+Datos!AB19-(Datos!V19+Datos!AJ19))/(Datos!V19+Datos!AJ19))," - ")</f>
        <v>0.15848527349228611</v>
      </c>
      <c r="H19" s="365">
        <f>IF(ISNUMBER((Datos!M19-Datos!W19)/Datos!W19),(Datos!M19-Datos!W19)/Datos!W19," - ")</f>
        <v>0.36507936507936506</v>
      </c>
      <c r="I19" s="362">
        <f>IF(ISNUMBER((Tasas!C19-Datos!BE19)/Datos!BE19),(Tasas!C19-Datos!BE19)/Datos!BE19," - ")</f>
        <v>-0.14412101626983154</v>
      </c>
      <c r="J19" s="363">
        <f>IF(ISNUMBER((Tasas!D19-Datos!BF19)/Datos!BF19),(Tasas!D19-Datos!BF19)/Datos!BF19," - ")</f>
        <v>-6.1043413130527524E-2</v>
      </c>
      <c r="K19" s="364">
        <f>IF(ISNUMBER((Tasas!E19-Datos!BG19)/Datos!BG19),(Tasas!E19-Datos!BG19)/Datos!BG19," - ")</f>
        <v>-8.4343325253397897E-2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0.15966638855176085</v>
      </c>
      <c r="E21" s="278">
        <f t="shared" si="1"/>
        <v>8.5870395889782583E-2</v>
      </c>
      <c r="F21" s="278">
        <f t="shared" si="1"/>
        <v>0.38184910994237797</v>
      </c>
      <c r="G21" s="279">
        <f t="shared" si="1"/>
        <v>0.16722263179652899</v>
      </c>
      <c r="H21" s="285">
        <f t="shared" si="1"/>
        <v>0.52782866520875438</v>
      </c>
      <c r="I21" s="277">
        <f t="shared" si="1"/>
        <v>0.37912421332270024</v>
      </c>
      <c r="J21" s="278">
        <f t="shared" si="1"/>
        <v>0.28696558343213552</v>
      </c>
      <c r="K21" s="279">
        <f t="shared" si="1"/>
        <v>0.25549368866858446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gFiaa1Ksnt4HkjjScTxWkSSDKWPOrSioWRDPsADxRM2DGYVbISVY2x+ObnKPKbLYFq/aySAh/70CNpJAbmEsA==" saltValue="mJfAw+xB1RuIuUaAT2I4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